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GECOR\AGUA E ENERGIA\IFES\COOPERAÇÃO FAPES\GESTÃO DA COOPERAÇÃO\"/>
    </mc:Choice>
  </mc:AlternateContent>
  <bookViews>
    <workbookView xWindow="0" yWindow="0" windowWidth="28800" windowHeight="12045" tabRatio="772"/>
  </bookViews>
  <sheets>
    <sheet name="Dados de entrada" sheetId="1" r:id="rId1"/>
    <sheet name="Aliquotas" sheetId="4" r:id="rId2"/>
    <sheet name="Gráficos" sheetId="15" r:id="rId3"/>
    <sheet name="Tarifa Verde Atual" sheetId="2" r:id="rId4"/>
    <sheet name="Tarifa Verde Futuro" sheetId="12" r:id="rId5"/>
    <sheet name="Tarifa Azul Atual" sheetId="6" r:id="rId6"/>
    <sheet name="Tarifa Azul Futuro" sheetId="11" r:id="rId7"/>
    <sheet name="Tarifa BT Optante Atual" sheetId="10" r:id="rId8"/>
    <sheet name="Tarifa BT Optante Futuro" sheetId="14" r:id="rId9"/>
  </sheets>
  <definedNames>
    <definedName name="solver_adj" localSheetId="5" hidden="1">'Tarifa Azul Atual'!$V$3:$V$4</definedName>
    <definedName name="solver_adj" localSheetId="6" hidden="1">'Tarifa Azul Futuro'!$V$3:$V$4</definedName>
    <definedName name="solver_adj" localSheetId="3" hidden="1">'Tarifa Verde Atual'!$S$3</definedName>
    <definedName name="solver_adj" localSheetId="4" hidden="1">'Tarifa Verde Futuro'!$S$3</definedName>
    <definedName name="solver_cvg" localSheetId="5" hidden="1">0.0001</definedName>
    <definedName name="solver_cvg" localSheetId="6" hidden="1">0.0001</definedName>
    <definedName name="solver_cvg" localSheetId="3" hidden="1">0.0001</definedName>
    <definedName name="solver_cvg" localSheetId="4" hidden="1">0.0001</definedName>
    <definedName name="solver_drv" localSheetId="5" hidden="1">1</definedName>
    <definedName name="solver_drv" localSheetId="6" hidden="1">1</definedName>
    <definedName name="solver_drv" localSheetId="3" hidden="1">1</definedName>
    <definedName name="solver_drv" localSheetId="4" hidden="1">1</definedName>
    <definedName name="solver_eng" localSheetId="5" hidden="1">1</definedName>
    <definedName name="solver_eng" localSheetId="6" hidden="1">1</definedName>
    <definedName name="solver_eng" localSheetId="3" hidden="1">1</definedName>
    <definedName name="solver_eng" localSheetId="4" hidden="1">1</definedName>
    <definedName name="solver_est" localSheetId="5" hidden="1">1</definedName>
    <definedName name="solver_est" localSheetId="6" hidden="1">1</definedName>
    <definedName name="solver_est" localSheetId="3" hidden="1">1</definedName>
    <definedName name="solver_est" localSheetId="4" hidden="1">1</definedName>
    <definedName name="solver_itr" localSheetId="5" hidden="1">2147483647</definedName>
    <definedName name="solver_itr" localSheetId="6" hidden="1">2147483647</definedName>
    <definedName name="solver_itr" localSheetId="3" hidden="1">2147483647</definedName>
    <definedName name="solver_itr" localSheetId="4" hidden="1">2147483647</definedName>
    <definedName name="solver_lhs1" localSheetId="6" hidden="1">'Tarifa Azul Futuro'!$V$3</definedName>
    <definedName name="solver_lhs1" localSheetId="4" hidden="1">'Tarifa Verde Futuro'!$P$15</definedName>
    <definedName name="solver_lhs2" localSheetId="6" hidden="1">'Tarifa Azul Futuro'!$V$4</definedName>
    <definedName name="solver_lhs2" localSheetId="4" hidden="1">'Tarifa Verde Futuro'!$S$3</definedName>
    <definedName name="solver_mip" localSheetId="5" hidden="1">2147483647</definedName>
    <definedName name="solver_mip" localSheetId="6" hidden="1">2147483647</definedName>
    <definedName name="solver_mip" localSheetId="3" hidden="1">2147483647</definedName>
    <definedName name="solver_mip" localSheetId="4" hidden="1">2147483647</definedName>
    <definedName name="solver_mni" localSheetId="5" hidden="1">30</definedName>
    <definedName name="solver_mni" localSheetId="6" hidden="1">30</definedName>
    <definedName name="solver_mni" localSheetId="3" hidden="1">30</definedName>
    <definedName name="solver_mni" localSheetId="4" hidden="1">30</definedName>
    <definedName name="solver_mrt" localSheetId="5" hidden="1">0.075</definedName>
    <definedName name="solver_mrt" localSheetId="6" hidden="1">0.075</definedName>
    <definedName name="solver_mrt" localSheetId="3" hidden="1">0.075</definedName>
    <definedName name="solver_mrt" localSheetId="4" hidden="1">0.075</definedName>
    <definedName name="solver_msl" localSheetId="5" hidden="1">2</definedName>
    <definedName name="solver_msl" localSheetId="6" hidden="1">2</definedName>
    <definedName name="solver_msl" localSheetId="3" hidden="1">2</definedName>
    <definedName name="solver_msl" localSheetId="4" hidden="1">2</definedName>
    <definedName name="solver_neg" localSheetId="5" hidden="1">1</definedName>
    <definedName name="solver_neg" localSheetId="6" hidden="1">1</definedName>
    <definedName name="solver_neg" localSheetId="3" hidden="1">1</definedName>
    <definedName name="solver_neg" localSheetId="4" hidden="1">1</definedName>
    <definedName name="solver_nod" localSheetId="5" hidden="1">2147483647</definedName>
    <definedName name="solver_nod" localSheetId="6" hidden="1">2147483647</definedName>
    <definedName name="solver_nod" localSheetId="3" hidden="1">2147483647</definedName>
    <definedName name="solver_nod" localSheetId="4" hidden="1">2147483647</definedName>
    <definedName name="solver_num" localSheetId="5" hidden="1">0</definedName>
    <definedName name="solver_num" localSheetId="6" hidden="1">1</definedName>
    <definedName name="solver_num" localSheetId="3" hidden="1">0</definedName>
    <definedName name="solver_num" localSheetId="4" hidden="1">0</definedName>
    <definedName name="solver_nwt" localSheetId="5" hidden="1">1</definedName>
    <definedName name="solver_nwt" localSheetId="6" hidden="1">1</definedName>
    <definedName name="solver_nwt" localSheetId="3" hidden="1">1</definedName>
    <definedName name="solver_nwt" localSheetId="4" hidden="1">1</definedName>
    <definedName name="solver_opt" localSheetId="5" hidden="1">'Tarifa Azul Atual'!$S$15</definedName>
    <definedName name="solver_opt" localSheetId="6" hidden="1">'Tarifa Azul Futuro'!$S$15</definedName>
    <definedName name="solver_opt" localSheetId="3" hidden="1">'Tarifa Verde Atual'!$P$15</definedName>
    <definedName name="solver_opt" localSheetId="4" hidden="1">'Tarifa Verde Futuro'!$P$15</definedName>
    <definedName name="solver_pre" localSheetId="5" hidden="1">0.000001</definedName>
    <definedName name="solver_pre" localSheetId="6" hidden="1">0.000001</definedName>
    <definedName name="solver_pre" localSheetId="3" hidden="1">0.000001</definedName>
    <definedName name="solver_pre" localSheetId="4" hidden="1">0.000001</definedName>
    <definedName name="solver_rbv" localSheetId="5" hidden="1">1</definedName>
    <definedName name="solver_rbv" localSheetId="6" hidden="1">1</definedName>
    <definedName name="solver_rbv" localSheetId="3" hidden="1">1</definedName>
    <definedName name="solver_rbv" localSheetId="4" hidden="1">1</definedName>
    <definedName name="solver_rel1" localSheetId="6" hidden="1">3</definedName>
    <definedName name="solver_rel1" localSheetId="4" hidden="1">3</definedName>
    <definedName name="solver_rel2" localSheetId="6" hidden="1">3</definedName>
    <definedName name="solver_rel2" localSheetId="4" hidden="1">3</definedName>
    <definedName name="solver_rhs1" localSheetId="6" hidden="1">30</definedName>
    <definedName name="solver_rhs1" localSheetId="4" hidden="1">'Tarifa Verde Futuro'!$P$17</definedName>
    <definedName name="solver_rhs2" localSheetId="6" hidden="1">0.1</definedName>
    <definedName name="solver_rhs2" localSheetId="4" hidden="1">0</definedName>
    <definedName name="solver_rlx" localSheetId="5" hidden="1">2</definedName>
    <definedName name="solver_rlx" localSheetId="6" hidden="1">2</definedName>
    <definedName name="solver_rlx" localSheetId="3" hidden="1">2</definedName>
    <definedName name="solver_rlx" localSheetId="4" hidden="1">2</definedName>
    <definedName name="solver_rsd" localSheetId="5" hidden="1">0</definedName>
    <definedName name="solver_rsd" localSheetId="6" hidden="1">0</definedName>
    <definedName name="solver_rsd" localSheetId="3" hidden="1">0</definedName>
    <definedName name="solver_rsd" localSheetId="4" hidden="1">0</definedName>
    <definedName name="solver_scl" localSheetId="5" hidden="1">1</definedName>
    <definedName name="solver_scl" localSheetId="6" hidden="1">1</definedName>
    <definedName name="solver_scl" localSheetId="3" hidden="1">1</definedName>
    <definedName name="solver_scl" localSheetId="4" hidden="1">1</definedName>
    <definedName name="solver_sho" localSheetId="5" hidden="1">2</definedName>
    <definedName name="solver_sho" localSheetId="6" hidden="1">2</definedName>
    <definedName name="solver_sho" localSheetId="3" hidden="1">2</definedName>
    <definedName name="solver_sho" localSheetId="4" hidden="1">2</definedName>
    <definedName name="solver_ssz" localSheetId="5" hidden="1">100</definedName>
    <definedName name="solver_ssz" localSheetId="6" hidden="1">100</definedName>
    <definedName name="solver_ssz" localSheetId="3" hidden="1">100</definedName>
    <definedName name="solver_ssz" localSheetId="4" hidden="1">100</definedName>
    <definedName name="solver_tim" localSheetId="5" hidden="1">2147483647</definedName>
    <definedName name="solver_tim" localSheetId="6" hidden="1">2147483647</definedName>
    <definedName name="solver_tim" localSheetId="3" hidden="1">2147483647</definedName>
    <definedName name="solver_tim" localSheetId="4" hidden="1">2147483647</definedName>
    <definedName name="solver_tol" localSheetId="5" hidden="1">0.01</definedName>
    <definedName name="solver_tol" localSheetId="6" hidden="1">0.01</definedName>
    <definedName name="solver_tol" localSheetId="3" hidden="1">0.01</definedName>
    <definedName name="solver_tol" localSheetId="4" hidden="1">0.01</definedName>
    <definedName name="solver_typ" localSheetId="5" hidden="1">2</definedName>
    <definedName name="solver_typ" localSheetId="6" hidden="1">2</definedName>
    <definedName name="solver_typ" localSheetId="3" hidden="1">2</definedName>
    <definedName name="solver_typ" localSheetId="4" hidden="1">2</definedName>
    <definedName name="solver_val" localSheetId="5" hidden="1">0</definedName>
    <definedName name="solver_val" localSheetId="6" hidden="1">0</definedName>
    <definedName name="solver_val" localSheetId="3" hidden="1">0</definedName>
    <definedName name="solver_val" localSheetId="4" hidden="1">0</definedName>
    <definedName name="solver_ver" localSheetId="5" hidden="1">3</definedName>
    <definedName name="solver_ver" localSheetId="6" hidden="1">3</definedName>
    <definedName name="solver_ver" localSheetId="3" hidden="1">3</definedName>
    <definedName name="solver_ver" localSheetId="4" hidden="1">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4" l="1"/>
  <c r="K6" i="14"/>
  <c r="K7" i="14"/>
  <c r="K8" i="14"/>
  <c r="K9" i="14"/>
  <c r="K10" i="14"/>
  <c r="K11" i="14"/>
  <c r="K12" i="14"/>
  <c r="K13" i="14"/>
  <c r="J5" i="14"/>
  <c r="J6" i="14"/>
  <c r="J7" i="14"/>
  <c r="J8" i="14"/>
  <c r="J9" i="14"/>
  <c r="J10" i="14"/>
  <c r="J11" i="14"/>
  <c r="J12" i="14"/>
  <c r="J13" i="14"/>
  <c r="K14" i="14"/>
  <c r="J14" i="14"/>
  <c r="K4" i="14"/>
  <c r="J4" i="14"/>
  <c r="K3" i="14"/>
  <c r="J3" i="14"/>
  <c r="O14" i="2" l="1"/>
  <c r="O5" i="2"/>
  <c r="O6" i="2"/>
  <c r="O7" i="2"/>
  <c r="O8" i="2"/>
  <c r="O9" i="2"/>
  <c r="O10" i="2"/>
  <c r="O11" i="2"/>
  <c r="O12" i="2"/>
  <c r="O13" i="2"/>
  <c r="O4" i="2"/>
  <c r="O3" i="2"/>
  <c r="N14" i="2"/>
  <c r="N5" i="2"/>
  <c r="N6" i="2"/>
  <c r="N7" i="2"/>
  <c r="N8" i="2"/>
  <c r="N9" i="2"/>
  <c r="N10" i="2"/>
  <c r="N11" i="2"/>
  <c r="N12" i="2"/>
  <c r="N13" i="2"/>
  <c r="N4" i="2"/>
  <c r="N3" i="2"/>
  <c r="K5" i="11" l="1"/>
  <c r="K6" i="11"/>
  <c r="K7" i="11"/>
  <c r="K8" i="11"/>
  <c r="K9" i="11"/>
  <c r="K10" i="11"/>
  <c r="K11" i="11"/>
  <c r="K12" i="11"/>
  <c r="K13" i="11"/>
  <c r="K14" i="11"/>
  <c r="K4" i="11"/>
  <c r="K3" i="11"/>
  <c r="J5" i="11"/>
  <c r="J6" i="11"/>
  <c r="J7" i="11"/>
  <c r="J8" i="11"/>
  <c r="J9" i="11"/>
  <c r="J10" i="11"/>
  <c r="J11" i="11"/>
  <c r="J12" i="11"/>
  <c r="J13" i="11"/>
  <c r="J14" i="11"/>
  <c r="J4" i="11"/>
  <c r="J3" i="11"/>
  <c r="K5" i="6"/>
  <c r="K6" i="6"/>
  <c r="K7" i="6"/>
  <c r="K8" i="6"/>
  <c r="K9" i="6"/>
  <c r="K10" i="6"/>
  <c r="K11" i="6"/>
  <c r="K12" i="6"/>
  <c r="K13" i="6"/>
  <c r="K14" i="6"/>
  <c r="K4" i="6"/>
  <c r="K3" i="6"/>
  <c r="J5" i="6"/>
  <c r="J6" i="6"/>
  <c r="J7" i="6"/>
  <c r="J8" i="6"/>
  <c r="J9" i="6"/>
  <c r="J10" i="6"/>
  <c r="J11" i="6"/>
  <c r="J12" i="6"/>
  <c r="J13" i="6"/>
  <c r="J14" i="6"/>
  <c r="J4" i="6"/>
  <c r="J3" i="6"/>
  <c r="H14" i="12"/>
  <c r="H5" i="12"/>
  <c r="H6" i="12"/>
  <c r="H7" i="12"/>
  <c r="H8" i="12"/>
  <c r="H9" i="12"/>
  <c r="H10" i="12"/>
  <c r="H11" i="12"/>
  <c r="H12" i="12"/>
  <c r="H13" i="12"/>
  <c r="H4" i="12"/>
  <c r="H3" i="12"/>
  <c r="H4" i="2"/>
  <c r="H5" i="2"/>
  <c r="H6" i="2"/>
  <c r="H7" i="2"/>
  <c r="H8" i="2"/>
  <c r="H9" i="2"/>
  <c r="H10" i="2"/>
  <c r="H11" i="2"/>
  <c r="H12" i="2"/>
  <c r="H13" i="2"/>
  <c r="H14" i="2"/>
  <c r="H3" i="2"/>
  <c r="G3" i="2" l="1"/>
  <c r="K6" i="1"/>
  <c r="F14" i="2"/>
  <c r="F14" i="12"/>
  <c r="I4" i="14"/>
  <c r="I5" i="14"/>
  <c r="I6" i="14"/>
  <c r="I7" i="14"/>
  <c r="I8" i="14"/>
  <c r="I9" i="14"/>
  <c r="I10" i="14"/>
  <c r="I11" i="14"/>
  <c r="I12" i="14"/>
  <c r="I13" i="14"/>
  <c r="I14" i="14"/>
  <c r="I3" i="14"/>
  <c r="H4" i="14"/>
  <c r="H5" i="14"/>
  <c r="H6" i="14"/>
  <c r="H7" i="14"/>
  <c r="H8" i="14"/>
  <c r="H9" i="14"/>
  <c r="H10" i="14"/>
  <c r="H11" i="14"/>
  <c r="H12" i="14"/>
  <c r="H13" i="14"/>
  <c r="H14" i="14"/>
  <c r="H3" i="14"/>
  <c r="G4" i="14"/>
  <c r="G5" i="14"/>
  <c r="G6" i="14"/>
  <c r="G7" i="14"/>
  <c r="G8" i="14"/>
  <c r="G9" i="14"/>
  <c r="G10" i="14"/>
  <c r="G11" i="14"/>
  <c r="G12" i="14"/>
  <c r="G13" i="14"/>
  <c r="G14" i="14"/>
  <c r="G3" i="14"/>
  <c r="E4" i="14"/>
  <c r="E5" i="14"/>
  <c r="E6" i="14"/>
  <c r="E7" i="14"/>
  <c r="E8" i="14"/>
  <c r="E9" i="14"/>
  <c r="E10" i="14"/>
  <c r="E11" i="14"/>
  <c r="E12" i="14"/>
  <c r="E13" i="14"/>
  <c r="E14" i="14"/>
  <c r="E3" i="14"/>
  <c r="D4" i="14"/>
  <c r="D5" i="14"/>
  <c r="D6" i="14"/>
  <c r="D7" i="14"/>
  <c r="D8" i="14"/>
  <c r="D9" i="14"/>
  <c r="D10" i="14"/>
  <c r="D11" i="14"/>
  <c r="D12" i="14"/>
  <c r="D13" i="14"/>
  <c r="D14" i="14"/>
  <c r="D3" i="14"/>
  <c r="I4" i="10"/>
  <c r="I5" i="10"/>
  <c r="I6" i="10"/>
  <c r="I7" i="10"/>
  <c r="I8" i="10"/>
  <c r="I9" i="10"/>
  <c r="I10" i="10"/>
  <c r="I11" i="10"/>
  <c r="I12" i="10"/>
  <c r="I13" i="10"/>
  <c r="I14" i="10"/>
  <c r="I3" i="10"/>
  <c r="G4" i="10"/>
  <c r="G5" i="10"/>
  <c r="G6" i="10"/>
  <c r="G7" i="10"/>
  <c r="G8" i="10"/>
  <c r="G9" i="10"/>
  <c r="G10" i="10"/>
  <c r="G11" i="10"/>
  <c r="G12" i="10"/>
  <c r="G13" i="10"/>
  <c r="G14" i="10"/>
  <c r="G3" i="10"/>
  <c r="E4" i="10"/>
  <c r="E5" i="10"/>
  <c r="E6" i="10"/>
  <c r="E7" i="10"/>
  <c r="E8" i="10"/>
  <c r="E9" i="10"/>
  <c r="E10" i="10"/>
  <c r="E11" i="10"/>
  <c r="E12" i="10"/>
  <c r="E13" i="10"/>
  <c r="E14" i="10"/>
  <c r="E3" i="10"/>
  <c r="D4" i="10"/>
  <c r="D5" i="10"/>
  <c r="D6" i="10"/>
  <c r="D7" i="10"/>
  <c r="D8" i="10"/>
  <c r="D9" i="10"/>
  <c r="D10" i="10"/>
  <c r="D11" i="10"/>
  <c r="D12" i="10"/>
  <c r="D13" i="10"/>
  <c r="D14" i="10"/>
  <c r="D3" i="10"/>
  <c r="P4" i="11"/>
  <c r="P5" i="11"/>
  <c r="P6" i="11"/>
  <c r="P7" i="11"/>
  <c r="P8" i="11"/>
  <c r="P9" i="11"/>
  <c r="P10" i="11"/>
  <c r="P11" i="11"/>
  <c r="P12" i="11"/>
  <c r="P13" i="11"/>
  <c r="P14" i="11"/>
  <c r="P3" i="11"/>
  <c r="O4" i="11"/>
  <c r="H4" i="10" s="1"/>
  <c r="O5" i="11"/>
  <c r="H5" i="10" s="1"/>
  <c r="O6" i="11"/>
  <c r="H6" i="10" s="1"/>
  <c r="O7" i="11"/>
  <c r="H7" i="10" s="1"/>
  <c r="O8" i="11"/>
  <c r="O9" i="11"/>
  <c r="H9" i="10" s="1"/>
  <c r="O10" i="11"/>
  <c r="H10" i="10" s="1"/>
  <c r="O11" i="11"/>
  <c r="H11" i="10" s="1"/>
  <c r="O12" i="11"/>
  <c r="O13" i="11"/>
  <c r="H13" i="10" s="1"/>
  <c r="O14" i="11"/>
  <c r="H14" i="10" s="1"/>
  <c r="O3" i="11"/>
  <c r="H3" i="10" s="1"/>
  <c r="N4" i="11"/>
  <c r="N5" i="11"/>
  <c r="N6" i="11"/>
  <c r="N7" i="11"/>
  <c r="N8" i="11"/>
  <c r="N9" i="11"/>
  <c r="N10" i="11"/>
  <c r="N11" i="11"/>
  <c r="N12" i="11"/>
  <c r="N13" i="11"/>
  <c r="N14" i="11"/>
  <c r="N3" i="11"/>
  <c r="L4" i="11"/>
  <c r="L5" i="11"/>
  <c r="L6" i="11"/>
  <c r="L7" i="11"/>
  <c r="L8" i="11"/>
  <c r="L9" i="11"/>
  <c r="L10" i="11"/>
  <c r="L11" i="11"/>
  <c r="L12" i="11"/>
  <c r="L13" i="11"/>
  <c r="L14" i="11"/>
  <c r="L3" i="11"/>
  <c r="H4" i="11"/>
  <c r="H5" i="11"/>
  <c r="H6" i="11"/>
  <c r="H7" i="11"/>
  <c r="H8" i="11"/>
  <c r="H9" i="11"/>
  <c r="H10" i="11"/>
  <c r="H11" i="11"/>
  <c r="H12" i="11"/>
  <c r="H13" i="11"/>
  <c r="H14" i="11"/>
  <c r="G4" i="11"/>
  <c r="G5" i="11"/>
  <c r="G6" i="11"/>
  <c r="G7" i="11"/>
  <c r="G8" i="11"/>
  <c r="G9" i="11"/>
  <c r="G10" i="11"/>
  <c r="G11" i="11"/>
  <c r="G12" i="11"/>
  <c r="G13" i="11"/>
  <c r="G14" i="11"/>
  <c r="G3" i="11"/>
  <c r="H3" i="11"/>
  <c r="I4" i="11"/>
  <c r="I5" i="11"/>
  <c r="I6" i="11"/>
  <c r="I7" i="11"/>
  <c r="I8" i="11"/>
  <c r="I9" i="11"/>
  <c r="I10" i="11"/>
  <c r="I11" i="11"/>
  <c r="I12" i="11"/>
  <c r="I13" i="11"/>
  <c r="I14" i="11"/>
  <c r="I3" i="11"/>
  <c r="E4" i="11"/>
  <c r="E5" i="11"/>
  <c r="E6" i="11"/>
  <c r="E7" i="11"/>
  <c r="E8" i="11"/>
  <c r="E9" i="11"/>
  <c r="E10" i="11"/>
  <c r="E11" i="11"/>
  <c r="E12" i="11"/>
  <c r="E13" i="11"/>
  <c r="E14" i="11"/>
  <c r="E3" i="11"/>
  <c r="P4" i="6"/>
  <c r="P5" i="6"/>
  <c r="P6" i="6"/>
  <c r="P7" i="6"/>
  <c r="P8" i="6"/>
  <c r="P9" i="6"/>
  <c r="P10" i="6"/>
  <c r="P11" i="6"/>
  <c r="P12" i="6"/>
  <c r="P13" i="6"/>
  <c r="P14" i="6"/>
  <c r="P3" i="6"/>
  <c r="N4" i="6"/>
  <c r="N5" i="6"/>
  <c r="N6" i="6"/>
  <c r="N7" i="6"/>
  <c r="N8" i="6"/>
  <c r="N9" i="6"/>
  <c r="N10" i="6"/>
  <c r="N11" i="6"/>
  <c r="N12" i="6"/>
  <c r="N13" i="6"/>
  <c r="N14" i="6"/>
  <c r="N3" i="6"/>
  <c r="L4" i="6"/>
  <c r="L5" i="6"/>
  <c r="L6" i="6"/>
  <c r="L7" i="6"/>
  <c r="L8" i="6"/>
  <c r="L9" i="6"/>
  <c r="L10" i="6"/>
  <c r="L11" i="6"/>
  <c r="L12" i="6"/>
  <c r="L13" i="6"/>
  <c r="L14" i="6"/>
  <c r="L3" i="6"/>
  <c r="H4" i="6"/>
  <c r="H5" i="6"/>
  <c r="H6" i="6"/>
  <c r="H7" i="6"/>
  <c r="H8" i="6"/>
  <c r="H9" i="6"/>
  <c r="H10" i="6"/>
  <c r="H11" i="6"/>
  <c r="H12" i="6"/>
  <c r="H13" i="6"/>
  <c r="H14" i="6"/>
  <c r="H3" i="6"/>
  <c r="G3" i="6"/>
  <c r="G4" i="6"/>
  <c r="G5" i="6"/>
  <c r="G6" i="6"/>
  <c r="G7" i="6"/>
  <c r="G8" i="6"/>
  <c r="G9" i="6"/>
  <c r="G10" i="6"/>
  <c r="G11" i="6"/>
  <c r="G12" i="6"/>
  <c r="G13" i="6"/>
  <c r="G14" i="6"/>
  <c r="F4" i="6"/>
  <c r="F5" i="6"/>
  <c r="F6" i="6"/>
  <c r="F7" i="6"/>
  <c r="F8" i="6"/>
  <c r="F9" i="6"/>
  <c r="F10" i="6"/>
  <c r="F11" i="6"/>
  <c r="F12" i="6"/>
  <c r="F13" i="6"/>
  <c r="F14" i="6"/>
  <c r="F3" i="6"/>
  <c r="E4" i="6"/>
  <c r="E5" i="6"/>
  <c r="E6" i="6"/>
  <c r="E7" i="6"/>
  <c r="E8" i="6"/>
  <c r="E9" i="6"/>
  <c r="E10" i="6"/>
  <c r="E11" i="6"/>
  <c r="E12" i="6"/>
  <c r="E13" i="6"/>
  <c r="E14" i="6"/>
  <c r="E3" i="6"/>
  <c r="O16" i="1"/>
  <c r="N16" i="1"/>
  <c r="E4" i="12"/>
  <c r="E5" i="12"/>
  <c r="E6" i="12"/>
  <c r="E7" i="12"/>
  <c r="E8" i="12"/>
  <c r="E9" i="12"/>
  <c r="E10" i="12"/>
  <c r="E11" i="12"/>
  <c r="E12" i="12"/>
  <c r="E13" i="12"/>
  <c r="E14" i="12"/>
  <c r="K4" i="12"/>
  <c r="K5" i="12"/>
  <c r="K6" i="12"/>
  <c r="K7" i="12"/>
  <c r="K8" i="12"/>
  <c r="K9" i="12"/>
  <c r="K10" i="12"/>
  <c r="K11" i="12"/>
  <c r="K12" i="12"/>
  <c r="K13" i="12"/>
  <c r="K14" i="12"/>
  <c r="I4" i="12"/>
  <c r="I5" i="12"/>
  <c r="I6" i="12"/>
  <c r="I7" i="12"/>
  <c r="I8" i="12"/>
  <c r="I9" i="12"/>
  <c r="I10" i="12"/>
  <c r="I11" i="12"/>
  <c r="I12" i="12"/>
  <c r="I13" i="12"/>
  <c r="I14" i="12"/>
  <c r="F4" i="12"/>
  <c r="F5" i="12"/>
  <c r="F6" i="12"/>
  <c r="F7" i="12"/>
  <c r="F8" i="12"/>
  <c r="F9" i="12"/>
  <c r="F10" i="12"/>
  <c r="F11" i="12"/>
  <c r="F12" i="12"/>
  <c r="F13" i="12"/>
  <c r="G4" i="12"/>
  <c r="G5" i="12"/>
  <c r="G6" i="12"/>
  <c r="G7" i="12"/>
  <c r="G8" i="12"/>
  <c r="G9" i="12"/>
  <c r="G10" i="12"/>
  <c r="G11" i="12"/>
  <c r="G12" i="12"/>
  <c r="G13" i="12"/>
  <c r="G14" i="12"/>
  <c r="F3" i="12"/>
  <c r="K3" i="12"/>
  <c r="I3" i="12"/>
  <c r="G3" i="12"/>
  <c r="M4" i="2"/>
  <c r="M4" i="12" s="1"/>
  <c r="M5" i="2"/>
  <c r="M5" i="12"/>
  <c r="M6" i="2"/>
  <c r="M6" i="12" s="1"/>
  <c r="M7" i="2"/>
  <c r="M7" i="12" s="1"/>
  <c r="M8" i="2"/>
  <c r="M8" i="12" s="1"/>
  <c r="M9" i="2"/>
  <c r="M9" i="12" s="1"/>
  <c r="M10" i="2"/>
  <c r="M10" i="12" s="1"/>
  <c r="M11" i="2"/>
  <c r="M11" i="12" s="1"/>
  <c r="M12" i="2"/>
  <c r="M12" i="12" s="1"/>
  <c r="M13" i="2"/>
  <c r="M13" i="12" s="1"/>
  <c r="M14" i="2"/>
  <c r="M14" i="12" s="1"/>
  <c r="M3" i="2"/>
  <c r="M3" i="12" s="1"/>
  <c r="L4" i="2"/>
  <c r="L4" i="12" s="1"/>
  <c r="L5" i="2"/>
  <c r="L5" i="12" s="1"/>
  <c r="L6" i="2"/>
  <c r="L6" i="12" s="1"/>
  <c r="L7" i="2"/>
  <c r="L7" i="12" s="1"/>
  <c r="O7" i="6" s="1"/>
  <c r="L8" i="2"/>
  <c r="L8" i="12" s="1"/>
  <c r="L9" i="2"/>
  <c r="L9" i="12" s="1"/>
  <c r="L10" i="2"/>
  <c r="L10" i="12" s="1"/>
  <c r="L11" i="2"/>
  <c r="L11" i="12" s="1"/>
  <c r="L12" i="2"/>
  <c r="L12" i="12" s="1"/>
  <c r="L13" i="2"/>
  <c r="L13" i="12" s="1"/>
  <c r="L14" i="2"/>
  <c r="L14" i="12" s="1"/>
  <c r="L3" i="2"/>
  <c r="L3" i="12" s="1"/>
  <c r="O3" i="6" s="1"/>
  <c r="K4" i="2"/>
  <c r="K5" i="2"/>
  <c r="K6" i="2"/>
  <c r="K7" i="2"/>
  <c r="K8" i="2"/>
  <c r="K9" i="2"/>
  <c r="K10" i="2"/>
  <c r="K11" i="2"/>
  <c r="K12" i="2"/>
  <c r="K13" i="2"/>
  <c r="K14" i="2"/>
  <c r="K3" i="2"/>
  <c r="I4" i="2"/>
  <c r="I5" i="2"/>
  <c r="I6" i="2"/>
  <c r="I7" i="2"/>
  <c r="I8" i="2"/>
  <c r="I9" i="2"/>
  <c r="I10" i="2"/>
  <c r="I11" i="2"/>
  <c r="I12" i="2"/>
  <c r="I13" i="2"/>
  <c r="I14" i="2"/>
  <c r="I3" i="2"/>
  <c r="F4" i="2"/>
  <c r="F5" i="2"/>
  <c r="F6" i="2"/>
  <c r="F7" i="2"/>
  <c r="F8" i="2"/>
  <c r="F9" i="2"/>
  <c r="F10" i="2"/>
  <c r="F11" i="2"/>
  <c r="F12" i="2"/>
  <c r="F13" i="2"/>
  <c r="F3" i="2"/>
  <c r="G4" i="2"/>
  <c r="G5" i="2"/>
  <c r="G6" i="2"/>
  <c r="G7" i="2"/>
  <c r="G8" i="2"/>
  <c r="G9" i="2"/>
  <c r="G10" i="2"/>
  <c r="G11" i="2"/>
  <c r="G12" i="2"/>
  <c r="G13" i="2"/>
  <c r="G14" i="2"/>
  <c r="I31" i="4"/>
  <c r="I14" i="6"/>
  <c r="I30" i="4"/>
  <c r="I13" i="6"/>
  <c r="I29" i="4"/>
  <c r="I12" i="6"/>
  <c r="I22" i="4"/>
  <c r="I5" i="6"/>
  <c r="I21" i="4"/>
  <c r="I4" i="6"/>
  <c r="I20" i="4"/>
  <c r="I3" i="6"/>
  <c r="B4" i="4"/>
  <c r="B3" i="2" s="1"/>
  <c r="B5" i="4"/>
  <c r="B4" i="2" s="1"/>
  <c r="B6" i="4"/>
  <c r="B22" i="4" s="1"/>
  <c r="B38" i="4" s="1"/>
  <c r="B7" i="4"/>
  <c r="B23" i="4" s="1"/>
  <c r="B39" i="4" s="1"/>
  <c r="B8" i="4"/>
  <c r="B24" i="4" s="1"/>
  <c r="B40" i="4" s="1"/>
  <c r="B9" i="4"/>
  <c r="B8" i="2" s="1"/>
  <c r="B10" i="4"/>
  <c r="B9" i="2" s="1"/>
  <c r="B11" i="4"/>
  <c r="B27" i="4" s="1"/>
  <c r="B43" i="4" s="1"/>
  <c r="B12" i="4"/>
  <c r="B11" i="2" s="1"/>
  <c r="B13" i="4"/>
  <c r="B12" i="2" s="1"/>
  <c r="B14" i="4"/>
  <c r="B13" i="2" s="1"/>
  <c r="B15" i="4"/>
  <c r="B14" i="2" s="1"/>
  <c r="C4" i="14"/>
  <c r="F4" i="14" s="1"/>
  <c r="C5" i="14"/>
  <c r="C6" i="14"/>
  <c r="C7" i="14"/>
  <c r="C8" i="14"/>
  <c r="F8" i="14" s="1"/>
  <c r="C9" i="14"/>
  <c r="C10" i="14"/>
  <c r="C11" i="14"/>
  <c r="C12" i="14"/>
  <c r="C13" i="14"/>
  <c r="C14" i="14"/>
  <c r="C5" i="10"/>
  <c r="C6" i="10"/>
  <c r="F6" i="10" s="1"/>
  <c r="C7" i="10"/>
  <c r="C8" i="10"/>
  <c r="F8" i="10" s="1"/>
  <c r="C9" i="10"/>
  <c r="C10" i="10"/>
  <c r="F10" i="10" s="1"/>
  <c r="C11" i="10"/>
  <c r="C12" i="10"/>
  <c r="C13" i="10"/>
  <c r="C14" i="10"/>
  <c r="F4" i="11"/>
  <c r="F5" i="11"/>
  <c r="F6" i="11"/>
  <c r="F7" i="11"/>
  <c r="F8" i="11"/>
  <c r="F9" i="11"/>
  <c r="F10" i="11"/>
  <c r="F11" i="11"/>
  <c r="F12" i="11"/>
  <c r="F13" i="11"/>
  <c r="F14" i="11"/>
  <c r="D4" i="11"/>
  <c r="D5" i="11"/>
  <c r="D6" i="11"/>
  <c r="D7" i="11"/>
  <c r="D8" i="11"/>
  <c r="D9" i="11"/>
  <c r="D10" i="11"/>
  <c r="D11" i="11"/>
  <c r="D12" i="11"/>
  <c r="D13" i="11"/>
  <c r="D14" i="11"/>
  <c r="C4" i="11"/>
  <c r="C5" i="11"/>
  <c r="C6" i="11"/>
  <c r="C7" i="11"/>
  <c r="C8" i="11"/>
  <c r="C9" i="11"/>
  <c r="C10" i="11"/>
  <c r="C11" i="11"/>
  <c r="C12" i="11"/>
  <c r="C13" i="11"/>
  <c r="C14" i="11"/>
  <c r="E10" i="2"/>
  <c r="D4" i="6"/>
  <c r="D5" i="6"/>
  <c r="D6" i="6"/>
  <c r="D7" i="6"/>
  <c r="D8" i="6"/>
  <c r="D9" i="6"/>
  <c r="D10" i="6"/>
  <c r="D11" i="6"/>
  <c r="D12" i="6"/>
  <c r="D13" i="6"/>
  <c r="D14" i="6"/>
  <c r="C4" i="6"/>
  <c r="C5" i="6"/>
  <c r="C6" i="6"/>
  <c r="C7" i="6"/>
  <c r="C8" i="6"/>
  <c r="C9" i="6"/>
  <c r="C10" i="6"/>
  <c r="C11" i="6"/>
  <c r="C12" i="6"/>
  <c r="C13" i="6"/>
  <c r="C14" i="6"/>
  <c r="D4" i="12"/>
  <c r="D5" i="12"/>
  <c r="D6" i="12"/>
  <c r="D7" i="12"/>
  <c r="D8" i="12"/>
  <c r="D9" i="12"/>
  <c r="D10" i="12"/>
  <c r="D11" i="12"/>
  <c r="D12" i="12"/>
  <c r="D13" i="12"/>
  <c r="D14" i="12"/>
  <c r="C4" i="12"/>
  <c r="C5" i="12"/>
  <c r="C6" i="12"/>
  <c r="C7" i="12"/>
  <c r="C8" i="12"/>
  <c r="C9" i="12"/>
  <c r="C10" i="12"/>
  <c r="C11" i="12"/>
  <c r="C12" i="12"/>
  <c r="C13" i="12"/>
  <c r="C14" i="12"/>
  <c r="E4" i="2"/>
  <c r="E5" i="2"/>
  <c r="E6" i="2"/>
  <c r="E7" i="2"/>
  <c r="E12" i="2"/>
  <c r="E13" i="2"/>
  <c r="E14" i="2"/>
  <c r="D4" i="2"/>
  <c r="D5" i="2"/>
  <c r="D6" i="2"/>
  <c r="D7" i="2"/>
  <c r="D8" i="2"/>
  <c r="D9" i="2"/>
  <c r="D10" i="2"/>
  <c r="D11" i="2"/>
  <c r="D12" i="2"/>
  <c r="D13" i="2"/>
  <c r="D14" i="2"/>
  <c r="C4" i="2"/>
  <c r="C5" i="2"/>
  <c r="C6" i="2"/>
  <c r="C7" i="2"/>
  <c r="C8" i="2"/>
  <c r="C9" i="2"/>
  <c r="C10" i="2"/>
  <c r="C11" i="2"/>
  <c r="C12" i="2"/>
  <c r="C13" i="2"/>
  <c r="C14" i="2"/>
  <c r="E9" i="2"/>
  <c r="E8" i="2"/>
  <c r="E11" i="2"/>
  <c r="I28" i="4"/>
  <c r="I11" i="6"/>
  <c r="I27" i="4"/>
  <c r="I10" i="6"/>
  <c r="I26" i="4"/>
  <c r="I9" i="6"/>
  <c r="I25" i="4"/>
  <c r="I8" i="6"/>
  <c r="I24" i="4"/>
  <c r="I7" i="6"/>
  <c r="I23" i="4"/>
  <c r="I6" i="6"/>
  <c r="J31" i="10"/>
  <c r="F3" i="11"/>
  <c r="D3" i="11"/>
  <c r="C3" i="11"/>
  <c r="E3" i="12"/>
  <c r="D3" i="12"/>
  <c r="C3" i="12"/>
  <c r="B4" i="14"/>
  <c r="B5" i="14"/>
  <c r="B6" i="14"/>
  <c r="B7" i="14"/>
  <c r="B8" i="14"/>
  <c r="B9" i="14"/>
  <c r="B10" i="14"/>
  <c r="B11" i="14"/>
  <c r="B12" i="14"/>
  <c r="B13" i="14"/>
  <c r="B14" i="14"/>
  <c r="B3" i="14"/>
  <c r="B4" i="10"/>
  <c r="B5" i="10"/>
  <c r="B6" i="10"/>
  <c r="B7" i="10"/>
  <c r="B8" i="10"/>
  <c r="B9" i="10"/>
  <c r="B10" i="10"/>
  <c r="B11" i="10"/>
  <c r="B12" i="10"/>
  <c r="B13" i="10"/>
  <c r="B14" i="10"/>
  <c r="B3" i="10"/>
  <c r="B4" i="11"/>
  <c r="B5" i="11"/>
  <c r="B6" i="11"/>
  <c r="B7" i="11"/>
  <c r="B8" i="11"/>
  <c r="B9" i="11"/>
  <c r="B10" i="11"/>
  <c r="B11" i="11"/>
  <c r="B12" i="11"/>
  <c r="B13" i="11"/>
  <c r="B14" i="11"/>
  <c r="B3" i="11"/>
  <c r="B4" i="6"/>
  <c r="B5" i="6"/>
  <c r="B6" i="6"/>
  <c r="B7" i="6"/>
  <c r="B8" i="6"/>
  <c r="B9" i="6"/>
  <c r="B10" i="6"/>
  <c r="B11" i="6"/>
  <c r="B12" i="6"/>
  <c r="B13" i="6"/>
  <c r="B14" i="6"/>
  <c r="B3" i="6"/>
  <c r="B4" i="12"/>
  <c r="B5" i="12"/>
  <c r="B6" i="12"/>
  <c r="B7" i="12"/>
  <c r="B8" i="12"/>
  <c r="B9" i="12"/>
  <c r="B10" i="12"/>
  <c r="B11" i="12"/>
  <c r="B12" i="12"/>
  <c r="B13" i="12"/>
  <c r="B14" i="12"/>
  <c r="B3" i="12"/>
  <c r="B7" i="2"/>
  <c r="H8" i="10"/>
  <c r="H12" i="10"/>
  <c r="C37" i="4"/>
  <c r="C4" i="10"/>
  <c r="C3" i="14"/>
  <c r="C3" i="10"/>
  <c r="D3" i="2"/>
  <c r="E3" i="2"/>
  <c r="D3" i="6"/>
  <c r="C3" i="6"/>
  <c r="C3" i="2"/>
  <c r="K6" i="10" l="1"/>
  <c r="J6" i="10"/>
  <c r="J10" i="10"/>
  <c r="K10" i="10"/>
  <c r="J8" i="10"/>
  <c r="K8" i="10"/>
  <c r="I15" i="14"/>
  <c r="F14" i="10"/>
  <c r="F14" i="14"/>
  <c r="F4" i="10"/>
  <c r="F13" i="14"/>
  <c r="F10" i="14"/>
  <c r="M4" i="6"/>
  <c r="F9" i="14"/>
  <c r="L15" i="6"/>
  <c r="E15" i="14"/>
  <c r="F12" i="10"/>
  <c r="F6" i="14"/>
  <c r="F5" i="14"/>
  <c r="G15" i="14"/>
  <c r="M11" i="6"/>
  <c r="B6" i="2"/>
  <c r="J8" i="2"/>
  <c r="F3" i="14"/>
  <c r="F11" i="14"/>
  <c r="F7" i="14"/>
  <c r="L15" i="2"/>
  <c r="O13" i="6"/>
  <c r="O9" i="6"/>
  <c r="O5" i="6"/>
  <c r="O14" i="6"/>
  <c r="I15" i="2"/>
  <c r="N15" i="11"/>
  <c r="O8" i="6"/>
  <c r="O4" i="6"/>
  <c r="O12" i="6"/>
  <c r="O6" i="6"/>
  <c r="J7" i="2"/>
  <c r="J6" i="2"/>
  <c r="M14" i="6"/>
  <c r="M10" i="6"/>
  <c r="M6" i="6"/>
  <c r="F11" i="10"/>
  <c r="F7" i="10"/>
  <c r="K15" i="2"/>
  <c r="M15" i="12"/>
  <c r="I15" i="12"/>
  <c r="K15" i="12"/>
  <c r="E15" i="10"/>
  <c r="G15" i="10"/>
  <c r="I15" i="10"/>
  <c r="H15" i="14"/>
  <c r="F3" i="10"/>
  <c r="O10" i="6"/>
  <c r="F15" i="6"/>
  <c r="N15" i="6"/>
  <c r="L15" i="11"/>
  <c r="H15" i="10"/>
  <c r="P15" i="11"/>
  <c r="J11" i="2"/>
  <c r="D15" i="12"/>
  <c r="L8" i="14"/>
  <c r="B30" i="4"/>
  <c r="B46" i="4" s="1"/>
  <c r="O15" i="11"/>
  <c r="B5" i="2"/>
  <c r="D15" i="10"/>
  <c r="F12" i="14"/>
  <c r="H15" i="2"/>
  <c r="B26" i="4"/>
  <c r="B42" i="4" s="1"/>
  <c r="L15" i="12"/>
  <c r="O11" i="6"/>
  <c r="G15" i="2"/>
  <c r="F15" i="2"/>
  <c r="G15" i="12"/>
  <c r="E15" i="6"/>
  <c r="D15" i="2"/>
  <c r="J9" i="2"/>
  <c r="M12" i="6"/>
  <c r="M7" i="6"/>
  <c r="I15" i="6"/>
  <c r="C15" i="10"/>
  <c r="B20" i="4"/>
  <c r="B36" i="4" s="1"/>
  <c r="B28" i="4"/>
  <c r="B44" i="4" s="1"/>
  <c r="B10" i="2"/>
  <c r="D15" i="14"/>
  <c r="D15" i="6"/>
  <c r="B31" i="4"/>
  <c r="B47" i="4" s="1"/>
  <c r="D15" i="11"/>
  <c r="J14" i="2"/>
  <c r="J10" i="2"/>
  <c r="C15" i="2"/>
  <c r="J13" i="2"/>
  <c r="J5" i="2"/>
  <c r="J12" i="2"/>
  <c r="E15" i="2"/>
  <c r="M13" i="6"/>
  <c r="M9" i="6"/>
  <c r="M5" i="6"/>
  <c r="M8" i="6"/>
  <c r="C15" i="11"/>
  <c r="F13" i="10"/>
  <c r="F9" i="10"/>
  <c r="F5" i="10"/>
  <c r="C15" i="14"/>
  <c r="G15" i="6"/>
  <c r="H15" i="6"/>
  <c r="J15" i="6"/>
  <c r="K15" i="6"/>
  <c r="I15" i="11"/>
  <c r="J4" i="2"/>
  <c r="L6" i="10"/>
  <c r="B29" i="4"/>
  <c r="B45" i="4" s="1"/>
  <c r="B25" i="4"/>
  <c r="B41" i="4" s="1"/>
  <c r="B21" i="4"/>
  <c r="B37" i="4" s="1"/>
  <c r="M3" i="6"/>
  <c r="C15" i="6"/>
  <c r="C15" i="12"/>
  <c r="J3" i="2"/>
  <c r="M14" i="11"/>
  <c r="M10" i="11"/>
  <c r="M6" i="11"/>
  <c r="J15" i="11"/>
  <c r="K15" i="11"/>
  <c r="M12" i="11"/>
  <c r="M8" i="11"/>
  <c r="F15" i="11"/>
  <c r="M9" i="11"/>
  <c r="E15" i="11"/>
  <c r="M3" i="11"/>
  <c r="M5" i="11"/>
  <c r="M13" i="11"/>
  <c r="M11" i="11"/>
  <c r="M7" i="11"/>
  <c r="H15" i="11"/>
  <c r="M4" i="11"/>
  <c r="G15" i="11"/>
  <c r="J10" i="12"/>
  <c r="J11" i="12"/>
  <c r="J7" i="12"/>
  <c r="J12" i="12"/>
  <c r="J8" i="12"/>
  <c r="H15" i="12"/>
  <c r="J13" i="12"/>
  <c r="J9" i="12"/>
  <c r="J5" i="12"/>
  <c r="J14" i="12"/>
  <c r="J6" i="12"/>
  <c r="F15" i="12"/>
  <c r="E15" i="12"/>
  <c r="J3" i="12"/>
  <c r="J4" i="12"/>
  <c r="L9" i="14" l="1"/>
  <c r="K11" i="10"/>
  <c r="J11" i="10"/>
  <c r="K7" i="10"/>
  <c r="J7" i="10"/>
  <c r="K3" i="10"/>
  <c r="L3" i="10" s="1"/>
  <c r="J3" i="10"/>
  <c r="K5" i="10"/>
  <c r="J5" i="10"/>
  <c r="L5" i="10" s="1"/>
  <c r="J13" i="10"/>
  <c r="K13" i="10"/>
  <c r="L13" i="10" s="1"/>
  <c r="K4" i="10"/>
  <c r="J4" i="10"/>
  <c r="K14" i="10"/>
  <c r="J14" i="10"/>
  <c r="K9" i="10"/>
  <c r="J9" i="10"/>
  <c r="L9" i="10" s="1"/>
  <c r="J12" i="10"/>
  <c r="K12" i="10"/>
  <c r="L12" i="10" s="1"/>
  <c r="R14" i="11"/>
  <c r="Q14" i="11"/>
  <c r="R6" i="11"/>
  <c r="Q6" i="11"/>
  <c r="R7" i="11"/>
  <c r="Q7" i="11"/>
  <c r="R5" i="11"/>
  <c r="Q5" i="11"/>
  <c r="R4" i="11"/>
  <c r="Q4" i="11"/>
  <c r="Q11" i="11"/>
  <c r="R11" i="11"/>
  <c r="R3" i="11"/>
  <c r="Q3" i="11"/>
  <c r="Q10" i="11"/>
  <c r="S10" i="11" s="1"/>
  <c r="R10" i="11"/>
  <c r="Q13" i="11"/>
  <c r="R13" i="11"/>
  <c r="R9" i="11"/>
  <c r="Q9" i="11"/>
  <c r="R8" i="11"/>
  <c r="Q8" i="11"/>
  <c r="Q12" i="11"/>
  <c r="R12" i="11"/>
  <c r="R13" i="6"/>
  <c r="Q13" i="6"/>
  <c r="R7" i="6"/>
  <c r="Q7" i="6"/>
  <c r="R4" i="6"/>
  <c r="Q4" i="6"/>
  <c r="Q11" i="6"/>
  <c r="R11" i="6"/>
  <c r="Q12" i="6"/>
  <c r="R12" i="6"/>
  <c r="Q14" i="6"/>
  <c r="S14" i="6" s="1"/>
  <c r="R14" i="6"/>
  <c r="Q3" i="6"/>
  <c r="R3" i="6"/>
  <c r="R6" i="6"/>
  <c r="Q6" i="6"/>
  <c r="S6" i="6" s="1"/>
  <c r="R8" i="6"/>
  <c r="Q8" i="6"/>
  <c r="R5" i="6"/>
  <c r="Q5" i="6"/>
  <c r="Q10" i="6"/>
  <c r="R10" i="6"/>
  <c r="Q9" i="6"/>
  <c r="R9" i="6"/>
  <c r="N5" i="12"/>
  <c r="O5" i="12"/>
  <c r="N6" i="12"/>
  <c r="O6" i="12"/>
  <c r="O14" i="12"/>
  <c r="N14" i="12"/>
  <c r="N9" i="12"/>
  <c r="O9" i="12"/>
  <c r="N8" i="12"/>
  <c r="O8" i="12"/>
  <c r="N7" i="12"/>
  <c r="O7" i="12"/>
  <c r="N11" i="12"/>
  <c r="O11" i="12"/>
  <c r="O10" i="12"/>
  <c r="N10" i="12"/>
  <c r="N3" i="12"/>
  <c r="O3" i="12"/>
  <c r="O13" i="12"/>
  <c r="N13" i="12"/>
  <c r="O12" i="12"/>
  <c r="N12" i="12"/>
  <c r="O4" i="12"/>
  <c r="N4" i="12"/>
  <c r="P6" i="2"/>
  <c r="L3" i="14"/>
  <c r="L4" i="10"/>
  <c r="L4" i="14"/>
  <c r="P8" i="2"/>
  <c r="F15" i="14"/>
  <c r="L8" i="10"/>
  <c r="L7" i="10"/>
  <c r="S4" i="6"/>
  <c r="P13" i="2"/>
  <c r="S7" i="6"/>
  <c r="O15" i="6"/>
  <c r="L6" i="14"/>
  <c r="K15" i="14"/>
  <c r="P11" i="2"/>
  <c r="L11" i="14"/>
  <c r="L10" i="14"/>
  <c r="L14" i="14"/>
  <c r="J15" i="14"/>
  <c r="L13" i="14"/>
  <c r="L10" i="10"/>
  <c r="P9" i="2"/>
  <c r="J15" i="2"/>
  <c r="F15" i="10"/>
  <c r="P14" i="2"/>
  <c r="L5" i="14"/>
  <c r="S11" i="6"/>
  <c r="P7" i="2"/>
  <c r="M15" i="6"/>
  <c r="S14" i="11"/>
  <c r="M15" i="11"/>
  <c r="J15" i="12"/>
  <c r="L14" i="10" l="1"/>
  <c r="L7" i="14"/>
  <c r="S5" i="6"/>
  <c r="S9" i="6"/>
  <c r="L11" i="10"/>
  <c r="K15" i="10"/>
  <c r="S12" i="6"/>
  <c r="S10" i="6"/>
  <c r="P12" i="2"/>
  <c r="Q15" i="6"/>
  <c r="S13" i="6"/>
  <c r="O15" i="2"/>
  <c r="N15" i="2"/>
  <c r="S8" i="6"/>
  <c r="R15" i="6"/>
  <c r="P5" i="2"/>
  <c r="P3" i="2"/>
  <c r="P10" i="2"/>
  <c r="J15" i="10"/>
  <c r="L12" i="14"/>
  <c r="L15" i="14" s="1"/>
  <c r="L15" i="10"/>
  <c r="S3" i="6"/>
  <c r="P4" i="2"/>
  <c r="P11" i="12"/>
  <c r="S9" i="11"/>
  <c r="S6" i="11"/>
  <c r="S7" i="11"/>
  <c r="S13" i="11"/>
  <c r="S8" i="11"/>
  <c r="S12" i="11"/>
  <c r="S11" i="11"/>
  <c r="S5" i="11"/>
  <c r="R15" i="11"/>
  <c r="S3" i="11"/>
  <c r="S4" i="11"/>
  <c r="Q15" i="11"/>
  <c r="P8" i="12"/>
  <c r="P12" i="12"/>
  <c r="P14" i="12"/>
  <c r="P6" i="12"/>
  <c r="P10" i="12"/>
  <c r="P9" i="12"/>
  <c r="P7" i="12"/>
  <c r="P13" i="12"/>
  <c r="P5" i="12"/>
  <c r="O15" i="12"/>
  <c r="P3" i="12"/>
  <c r="P4" i="12"/>
  <c r="N15" i="12"/>
  <c r="S15" i="6" l="1"/>
  <c r="P15" i="2"/>
  <c r="S15" i="11"/>
  <c r="P15" i="12"/>
</calcChain>
</file>

<file path=xl/sharedStrings.xml><?xml version="1.0" encoding="utf-8"?>
<sst xmlns="http://schemas.openxmlformats.org/spreadsheetml/2006/main" count="145" uniqueCount="78">
  <si>
    <t>DADOS DE CONSUMO</t>
  </si>
  <si>
    <t>OUTROS</t>
  </si>
  <si>
    <t>IMPOSTOS</t>
  </si>
  <si>
    <t>DATA</t>
  </si>
  <si>
    <t>Energia Ativa de Ponta (KWH)</t>
  </si>
  <si>
    <t>Energia Ativa de Fora Ponta (KWH)</t>
  </si>
  <si>
    <t>Demanda Medida Ponta (KW)</t>
  </si>
  <si>
    <t>Demanda Medida Fora Ponta (KW)</t>
  </si>
  <si>
    <t>ERE (kWh)</t>
  </si>
  <si>
    <t>DRE Ponta (kW)</t>
  </si>
  <si>
    <t>DRE Fora de Ponta (kW)</t>
  </si>
  <si>
    <t>Bandeira (R$)</t>
  </si>
  <si>
    <t>Juros e multas (R$)</t>
  </si>
  <si>
    <t>DIC e FIC (R$)</t>
  </si>
  <si>
    <t>Iluminação Pública (R$)</t>
  </si>
  <si>
    <t>COFINS (%)</t>
  </si>
  <si>
    <t>Atual</t>
  </si>
  <si>
    <t>Demanda Ponta (R$/KW)</t>
  </si>
  <si>
    <t>Demanda Fponta (R$/KW)</t>
  </si>
  <si>
    <t>ERE    (R$/kWh)</t>
  </si>
  <si>
    <t>TOTAL SEM IMPOSTOS</t>
  </si>
  <si>
    <t>PIS</t>
  </si>
  <si>
    <t>COFINS</t>
  </si>
  <si>
    <t>TOTAL CONTA</t>
  </si>
  <si>
    <t>Demanda</t>
  </si>
  <si>
    <t>TOTAL ANUAL</t>
  </si>
  <si>
    <t>'</t>
  </si>
  <si>
    <t>Juros e Multa</t>
  </si>
  <si>
    <t>DIC e FIC</t>
  </si>
  <si>
    <t>Demanda Ponta</t>
  </si>
  <si>
    <t>Demanda fPonta</t>
  </si>
  <si>
    <t>Consumo Ponta TUSD (R$/kWh)</t>
  </si>
  <si>
    <t>Consumo Ponta            TE (R$/kWh)</t>
  </si>
  <si>
    <t>Cosumo F.ponta TUSD (R$/kWh)</t>
  </si>
  <si>
    <t>Consumo F.Ponta TE(R$/kWh)</t>
  </si>
  <si>
    <t>Demanda (R$/kW)</t>
  </si>
  <si>
    <t>Consumo TUSD+TE (R$/KWh)</t>
  </si>
  <si>
    <t>PREÇO: TARIFA HORÁRIA VERDE - A4</t>
  </si>
  <si>
    <t>PREÇO: TARIFA HORÁRIA AZUL - A4</t>
  </si>
  <si>
    <t>Demanda Contratada</t>
  </si>
  <si>
    <t>Demanda Contratada (kW)</t>
  </si>
  <si>
    <t>Consumo Ativa de Ponta</t>
  </si>
  <si>
    <t>Consumo Ativo de Fora Ponta</t>
  </si>
  <si>
    <t xml:space="preserve">ERE </t>
  </si>
  <si>
    <t xml:space="preserve">DRE </t>
  </si>
  <si>
    <t xml:space="preserve">Bandeira </t>
  </si>
  <si>
    <t>Iluminação Pública</t>
  </si>
  <si>
    <t>Juros e Multas</t>
  </si>
  <si>
    <t xml:space="preserve">DIC e FIC          </t>
  </si>
  <si>
    <t>Consumo Ponta TE (R$/kWh)</t>
  </si>
  <si>
    <t>Consumo F.Ponta TE (R$/kWh)</t>
  </si>
  <si>
    <t>TARIFA BT CONVENCIONAL</t>
  </si>
  <si>
    <t xml:space="preserve">Consumo Ativa de Ponta </t>
  </si>
  <si>
    <t xml:space="preserve">Consumo Ativo de Fora Ponta </t>
  </si>
  <si>
    <t xml:space="preserve">Demanda   </t>
  </si>
  <si>
    <t>Ultrapassagem de demanda</t>
  </si>
  <si>
    <t xml:space="preserve">ERE   </t>
  </si>
  <si>
    <t xml:space="preserve">DRE      </t>
  </si>
  <si>
    <t>Bandeira</t>
  </si>
  <si>
    <t xml:space="preserve">Iluminação Pública </t>
  </si>
  <si>
    <t>Consumo Ativo de Ponta</t>
  </si>
  <si>
    <t>Demanda F.ponta</t>
  </si>
  <si>
    <t>Ultrapassagem F.Ponta</t>
  </si>
  <si>
    <t>ERE</t>
  </si>
  <si>
    <t>DRE Ponta</t>
  </si>
  <si>
    <t>DRE F.Ponta</t>
  </si>
  <si>
    <t>Ultrapassagem Ponta</t>
  </si>
  <si>
    <t>Consumo Ponta</t>
  </si>
  <si>
    <t>Consumo  F.Ponta</t>
  </si>
  <si>
    <t>Total sem Impostos</t>
  </si>
  <si>
    <t>Demanda Contratada Ponta</t>
  </si>
  <si>
    <t>Demanda Contratada F.Ponta</t>
  </si>
  <si>
    <t>Consumo</t>
  </si>
  <si>
    <t>PIS        (%)</t>
  </si>
  <si>
    <t>Média</t>
  </si>
  <si>
    <t>DRE    (R$/KW)</t>
  </si>
  <si>
    <t>ERE   (R$/kWh)</t>
  </si>
  <si>
    <t>DRE    (R$/kW)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</si>
</sst>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_ ;\-#,##0.00\ "/>
    <numFmt numFmtId="165" formatCode="_-&quot;R$&quot;\ * #,##0.00_-;\-&quot;R$&quot;\ * #,##0.00_-;_-&quot;R$&quot;\ 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5" fillId="0" borderId="1" xfId="0" applyFont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3" borderId="0" xfId="0" applyFill="1"/>
    <xf numFmtId="44" fontId="0" fillId="0" borderId="0" xfId="0" applyNumberFormat="1"/>
    <xf numFmtId="4" fontId="0" fillId="0" borderId="0" xfId="0" applyNumberFormat="1"/>
    <xf numFmtId="44" fontId="0" fillId="0" borderId="0" xfId="1" applyFont="1"/>
    <xf numFmtId="164" fontId="0" fillId="0" borderId="0" xfId="0" applyNumberFormat="1"/>
    <xf numFmtId="2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quotePrefix="1"/>
    <xf numFmtId="3" fontId="0" fillId="0" borderId="1" xfId="0" applyNumberForma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" fontId="2" fillId="0" borderId="10" xfId="0" applyNumberFormat="1" applyFont="1" applyBorder="1"/>
    <xf numFmtId="17" fontId="2" fillId="0" borderId="12" xfId="0" applyNumberFormat="1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1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center"/>
    </xf>
    <xf numFmtId="10" fontId="0" fillId="0" borderId="0" xfId="4" applyNumberFormat="1" applyFont="1"/>
    <xf numFmtId="0" fontId="2" fillId="6" borderId="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7" fontId="4" fillId="3" borderId="10" xfId="0" applyNumberFormat="1" applyFont="1" applyFill="1" applyBorder="1"/>
    <xf numFmtId="17" fontId="4" fillId="3" borderId="12" xfId="0" applyNumberFormat="1" applyFont="1" applyFill="1" applyBorder="1"/>
    <xf numFmtId="0" fontId="2" fillId="8" borderId="18" xfId="0" applyFont="1" applyFill="1" applyBorder="1" applyAlignment="1">
      <alignment horizontal="center"/>
    </xf>
    <xf numFmtId="17" fontId="2" fillId="0" borderId="10" xfId="0" applyNumberFormat="1" applyFont="1" applyFill="1" applyBorder="1"/>
    <xf numFmtId="165" fontId="5" fillId="0" borderId="11" xfId="0" applyNumberFormat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/>
    </xf>
    <xf numFmtId="44" fontId="0" fillId="0" borderId="19" xfId="1" applyFont="1" applyFill="1" applyBorder="1" applyAlignment="1">
      <alignment horizontal="center" vertical="center"/>
    </xf>
    <xf numFmtId="44" fontId="0" fillId="0" borderId="20" xfId="3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7" fontId="4" fillId="3" borderId="10" xfId="0" applyNumberFormat="1" applyFont="1" applyFill="1" applyBorder="1" applyAlignment="1">
      <alignment horizontal="center"/>
    </xf>
    <xf numFmtId="17" fontId="4" fillId="3" borderId="12" xfId="0" applyNumberFormat="1" applyFont="1" applyFill="1" applyBorder="1" applyAlignment="1">
      <alignment horizontal="center"/>
    </xf>
    <xf numFmtId="2" fontId="0" fillId="0" borderId="1" xfId="3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/>
    </xf>
    <xf numFmtId="17" fontId="2" fillId="0" borderId="10" xfId="0" applyNumberFormat="1" applyFont="1" applyFill="1" applyBorder="1" applyAlignment="1">
      <alignment horizontal="center"/>
    </xf>
    <xf numFmtId="17" fontId="2" fillId="0" borderId="12" xfId="0" applyNumberFormat="1" applyFont="1" applyFill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7" xfId="0" applyNumberForma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8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7" fillId="8" borderId="18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17" fontId="4" fillId="3" borderId="1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44" fontId="0" fillId="8" borderId="2" xfId="1" applyFont="1" applyFill="1" applyBorder="1"/>
    <xf numFmtId="0" fontId="2" fillId="8" borderId="3" xfId="0" applyFont="1" applyFill="1" applyBorder="1"/>
    <xf numFmtId="0" fontId="0" fillId="3" borderId="5" xfId="0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2" fontId="0" fillId="0" borderId="19" xfId="3" applyNumberFormat="1" applyFont="1" applyFill="1" applyBorder="1" applyAlignment="1">
      <alignment horizontal="center"/>
    </xf>
    <xf numFmtId="2" fontId="0" fillId="3" borderId="19" xfId="3" applyNumberFormat="1" applyFont="1" applyFill="1" applyBorder="1" applyAlignment="1">
      <alignment horizontal="center"/>
    </xf>
    <xf numFmtId="2" fontId="5" fillId="9" borderId="9" xfId="0" applyNumberFormat="1" applyFont="1" applyFill="1" applyBorder="1" applyAlignment="1">
      <alignment horizontal="center"/>
    </xf>
    <xf numFmtId="2" fontId="5" fillId="9" borderId="27" xfId="0" applyNumberFormat="1" applyFont="1" applyFill="1" applyBorder="1" applyAlignment="1">
      <alignment horizontal="center"/>
    </xf>
    <xf numFmtId="2" fontId="5" fillId="9" borderId="28" xfId="0" applyNumberFormat="1" applyFont="1" applyFill="1" applyBorder="1" applyAlignment="1">
      <alignment horizontal="center"/>
    </xf>
    <xf numFmtId="2" fontId="5" fillId="9" borderId="7" xfId="0" applyNumberFormat="1" applyFont="1" applyFill="1" applyBorder="1" applyAlignment="1">
      <alignment horizontal="center"/>
    </xf>
    <xf numFmtId="2" fontId="5" fillId="9" borderId="15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5" fillId="9" borderId="6" xfId="0" applyNumberFormat="1" applyFont="1" applyFill="1" applyBorder="1" applyAlignment="1">
      <alignment horizontal="center"/>
    </xf>
    <xf numFmtId="2" fontId="0" fillId="3" borderId="20" xfId="3" applyNumberFormat="1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 vertical="center" wrapText="1"/>
    </xf>
    <xf numFmtId="17" fontId="2" fillId="8" borderId="35" xfId="0" applyNumberFormat="1" applyFont="1" applyFill="1" applyBorder="1" applyAlignment="1">
      <alignment horizontal="center"/>
    </xf>
    <xf numFmtId="44" fontId="0" fillId="8" borderId="30" xfId="1" applyFont="1" applyFill="1" applyBorder="1" applyAlignment="1">
      <alignment horizontal="center"/>
    </xf>
    <xf numFmtId="44" fontId="0" fillId="8" borderId="2" xfId="1" applyFont="1" applyFill="1" applyBorder="1" applyAlignment="1">
      <alignment horizontal="center"/>
    </xf>
    <xf numFmtId="17" fontId="2" fillId="8" borderId="36" xfId="0" applyNumberFormat="1" applyFont="1" applyFill="1" applyBorder="1" applyAlignment="1">
      <alignment horizontal="center"/>
    </xf>
    <xf numFmtId="44" fontId="0" fillId="8" borderId="29" xfId="1" applyFont="1" applyFill="1" applyBorder="1" applyAlignment="1">
      <alignment horizontal="center"/>
    </xf>
    <xf numFmtId="44" fontId="0" fillId="8" borderId="1" xfId="1" applyFont="1" applyFill="1" applyBorder="1" applyAlignment="1">
      <alignment horizontal="center"/>
    </xf>
    <xf numFmtId="44" fontId="0" fillId="8" borderId="1" xfId="1" applyFont="1" applyFill="1" applyBorder="1"/>
    <xf numFmtId="17" fontId="2" fillId="8" borderId="37" xfId="0" applyNumberFormat="1" applyFont="1" applyFill="1" applyBorder="1" applyAlignment="1">
      <alignment horizontal="center"/>
    </xf>
    <xf numFmtId="44" fontId="0" fillId="8" borderId="34" xfId="1" applyFont="1" applyFill="1" applyBorder="1" applyAlignment="1">
      <alignment horizontal="center"/>
    </xf>
    <xf numFmtId="44" fontId="0" fillId="8" borderId="6" xfId="1" applyFont="1" applyFill="1" applyBorder="1" applyAlignment="1">
      <alignment horizontal="center"/>
    </xf>
    <xf numFmtId="44" fontId="0" fillId="8" borderId="6" xfId="1" applyFont="1" applyFill="1" applyBorder="1"/>
    <xf numFmtId="44" fontId="0" fillId="6" borderId="35" xfId="1" applyFont="1" applyFill="1" applyBorder="1"/>
    <xf numFmtId="44" fontId="0" fillId="6" borderId="39" xfId="1" applyFont="1" applyFill="1" applyBorder="1"/>
    <xf numFmtId="44" fontId="0" fillId="6" borderId="33" xfId="1" applyFont="1" applyFill="1" applyBorder="1" applyAlignment="1">
      <alignment horizontal="center" vertical="center"/>
    </xf>
    <xf numFmtId="44" fontId="0" fillId="6" borderId="19" xfId="1" applyFont="1" applyFill="1" applyBorder="1" applyAlignment="1">
      <alignment horizontal="center" vertical="center"/>
    </xf>
    <xf numFmtId="44" fontId="2" fillId="6" borderId="17" xfId="1" applyFont="1" applyFill="1" applyBorder="1" applyAlignment="1">
      <alignment horizontal="center" vertical="center"/>
    </xf>
    <xf numFmtId="44" fontId="0" fillId="8" borderId="7" xfId="1" applyFont="1" applyFill="1" applyBorder="1" applyAlignment="1">
      <alignment horizontal="center"/>
    </xf>
    <xf numFmtId="44" fontId="0" fillId="8" borderId="7" xfId="1" applyFont="1" applyFill="1" applyBorder="1"/>
    <xf numFmtId="44" fontId="0" fillId="8" borderId="43" xfId="1" applyFont="1" applyFill="1" applyBorder="1" applyAlignment="1">
      <alignment horizontal="center"/>
    </xf>
    <xf numFmtId="44" fontId="0" fillId="8" borderId="16" xfId="1" applyFont="1" applyFill="1" applyBorder="1" applyAlignment="1">
      <alignment horizontal="center"/>
    </xf>
    <xf numFmtId="44" fontId="0" fillId="8" borderId="16" xfId="1" applyFont="1" applyFill="1" applyBorder="1"/>
    <xf numFmtId="4" fontId="0" fillId="6" borderId="19" xfId="1" applyNumberFormat="1" applyFont="1" applyFill="1" applyBorder="1" applyAlignment="1">
      <alignment horizontal="center" vertical="center"/>
    </xf>
    <xf numFmtId="164" fontId="0" fillId="6" borderId="19" xfId="1" applyNumberFormat="1" applyFont="1" applyFill="1" applyBorder="1" applyAlignment="1">
      <alignment horizontal="center" vertical="center"/>
    </xf>
    <xf numFmtId="17" fontId="2" fillId="8" borderId="38" xfId="0" applyNumberFormat="1" applyFont="1" applyFill="1" applyBorder="1" applyAlignment="1">
      <alignment horizontal="center"/>
    </xf>
    <xf numFmtId="17" fontId="2" fillId="8" borderId="42" xfId="0" applyNumberFormat="1" applyFont="1" applyFill="1" applyBorder="1" applyAlignment="1">
      <alignment horizontal="center"/>
    </xf>
    <xf numFmtId="44" fontId="0" fillId="8" borderId="41" xfId="1" applyNumberFormat="1" applyFont="1" applyFill="1" applyBorder="1" applyAlignment="1">
      <alignment horizontal="center"/>
    </xf>
    <xf numFmtId="44" fontId="0" fillId="8" borderId="7" xfId="1" applyNumberFormat="1" applyFont="1" applyFill="1" applyBorder="1" applyAlignment="1">
      <alignment horizontal="center"/>
    </xf>
    <xf numFmtId="44" fontId="0" fillId="8" borderId="29" xfId="1" applyNumberFormat="1" applyFont="1" applyFill="1" applyBorder="1" applyAlignment="1">
      <alignment horizontal="center"/>
    </xf>
    <xf numFmtId="44" fontId="0" fillId="8" borderId="1" xfId="1" applyNumberFormat="1" applyFont="1" applyFill="1" applyBorder="1" applyAlignment="1">
      <alignment horizontal="center"/>
    </xf>
    <xf numFmtId="44" fontId="0" fillId="8" borderId="43" xfId="1" applyNumberFormat="1" applyFont="1" applyFill="1" applyBorder="1" applyAlignment="1">
      <alignment horizontal="center"/>
    </xf>
    <xf numFmtId="44" fontId="0" fillId="8" borderId="16" xfId="1" applyNumberFormat="1" applyFont="1" applyFill="1" applyBorder="1" applyAlignment="1">
      <alignment horizontal="center"/>
    </xf>
    <xf numFmtId="44" fontId="0" fillId="8" borderId="1" xfId="1" applyNumberFormat="1" applyFont="1" applyFill="1" applyBorder="1"/>
    <xf numFmtId="44" fontId="0" fillId="8" borderId="2" xfId="1" applyNumberFormat="1" applyFont="1" applyFill="1" applyBorder="1" applyAlignment="1">
      <alignment horizontal="center"/>
    </xf>
    <xf numFmtId="44" fontId="0" fillId="8" borderId="2" xfId="1" applyNumberFormat="1" applyFont="1" applyFill="1" applyBorder="1"/>
    <xf numFmtId="44" fontId="0" fillId="8" borderId="16" xfId="1" applyNumberFormat="1" applyFont="1" applyFill="1" applyBorder="1"/>
    <xf numFmtId="44" fontId="0" fillId="6" borderId="19" xfId="1" applyNumberFormat="1" applyFont="1" applyFill="1" applyBorder="1" applyAlignment="1">
      <alignment horizontal="center" vertical="center"/>
    </xf>
    <xf numFmtId="44" fontId="0" fillId="6" borderId="19" xfId="0" applyNumberFormat="1" applyFill="1" applyBorder="1" applyAlignment="1">
      <alignment horizontal="center" vertical="center"/>
    </xf>
    <xf numFmtId="44" fontId="0" fillId="6" borderId="38" xfId="1" applyNumberFormat="1" applyFont="1" applyFill="1" applyBorder="1"/>
    <xf numFmtId="44" fontId="0" fillId="6" borderId="35" xfId="1" applyNumberFormat="1" applyFont="1" applyFill="1" applyBorder="1"/>
    <xf numFmtId="44" fontId="0" fillId="6" borderId="40" xfId="1" applyNumberFormat="1" applyFont="1" applyFill="1" applyBorder="1"/>
    <xf numFmtId="44" fontId="0" fillId="8" borderId="30" xfId="1" applyNumberFormat="1" applyFont="1" applyFill="1" applyBorder="1" applyAlignment="1">
      <alignment horizontal="center"/>
    </xf>
    <xf numFmtId="44" fontId="0" fillId="6" borderId="33" xfId="1" applyNumberFormat="1" applyFont="1" applyFill="1" applyBorder="1" applyAlignment="1">
      <alignment horizontal="center" vertical="center"/>
    </xf>
    <xf numFmtId="0" fontId="6" fillId="8" borderId="3" xfId="0" applyFont="1" applyFill="1" applyBorder="1"/>
    <xf numFmtId="0" fontId="11" fillId="0" borderId="5" xfId="0" applyFont="1" applyFill="1" applyBorder="1" applyAlignment="1">
      <alignment horizontal="center"/>
    </xf>
    <xf numFmtId="44" fontId="6" fillId="6" borderId="17" xfId="1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44" fontId="6" fillId="6" borderId="17" xfId="1" applyFont="1" applyFill="1" applyBorder="1" applyAlignment="1">
      <alignment horizontal="center" vertical="center"/>
    </xf>
    <xf numFmtId="0" fontId="11" fillId="0" borderId="5" xfId="0" applyFont="1" applyFill="1" applyBorder="1"/>
    <xf numFmtId="0" fontId="6" fillId="4" borderId="1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7" fontId="4" fillId="3" borderId="8" xfId="0" applyNumberFormat="1" applyFont="1" applyFill="1" applyBorder="1"/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6" fillId="10" borderId="19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/>
    </xf>
    <xf numFmtId="17" fontId="2" fillId="6" borderId="36" xfId="0" applyNumberFormat="1" applyFont="1" applyFill="1" applyBorder="1" applyAlignment="1">
      <alignment horizontal="center"/>
    </xf>
    <xf numFmtId="2" fontId="0" fillId="8" borderId="16" xfId="0" applyNumberFormat="1" applyFill="1" applyBorder="1" applyAlignment="1">
      <alignment horizontal="center"/>
    </xf>
    <xf numFmtId="44" fontId="0" fillId="6" borderId="18" xfId="1" applyFon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 wrapText="1"/>
    </xf>
    <xf numFmtId="17" fontId="2" fillId="6" borderId="42" xfId="0" applyNumberFormat="1" applyFont="1" applyFill="1" applyBorder="1" applyAlignment="1">
      <alignment horizontal="center"/>
    </xf>
    <xf numFmtId="44" fontId="0" fillId="8" borderId="1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0" fillId="8" borderId="16" xfId="0" applyNumberFormat="1" applyFill="1" applyBorder="1" applyAlignment="1">
      <alignment horizontal="center"/>
    </xf>
    <xf numFmtId="44" fontId="0" fillId="6" borderId="39" xfId="1" applyNumberFormat="1" applyFont="1" applyFill="1" applyBorder="1"/>
    <xf numFmtId="0" fontId="0" fillId="8" borderId="17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</cellXfs>
  <cellStyles count="5">
    <cellStyle name="Moeda" xfId="1" builtinId="4"/>
    <cellStyle name="Moeda 2" xfId="3"/>
    <cellStyle name="Moeda 3" xfId="2"/>
    <cellStyle name="Normal" xfId="0" builtinId="0"/>
    <cellStyle name="Porcentagem" xfId="4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pt-BR" b="1">
                <a:solidFill>
                  <a:schemeClr val="tx1"/>
                </a:solidFill>
              </a:rPr>
              <a:t>Tarifa Horária Verde: Atual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Demanda Fora de Ponta Medida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entrada'!$F$4:$F$15</c:f>
              <c:numCache>
                <c:formatCode>General</c:formatCode>
                <c:ptCount val="12"/>
                <c:pt idx="0">
                  <c:v>183.51599999999999</c:v>
                </c:pt>
                <c:pt idx="1">
                  <c:v>167.93600000000001</c:v>
                </c:pt>
                <c:pt idx="2">
                  <c:v>158.096</c:v>
                </c:pt>
                <c:pt idx="3">
                  <c:v>172.036</c:v>
                </c:pt>
                <c:pt idx="4">
                  <c:v>183.68</c:v>
                </c:pt>
                <c:pt idx="5">
                  <c:v>185.48400000000001</c:v>
                </c:pt>
                <c:pt idx="6">
                  <c:v>171.54400000000001</c:v>
                </c:pt>
                <c:pt idx="7">
                  <c:v>188.928</c:v>
                </c:pt>
                <c:pt idx="8">
                  <c:v>165.96799999999999</c:v>
                </c:pt>
                <c:pt idx="9">
                  <c:v>174.82400000000001</c:v>
                </c:pt>
                <c:pt idx="10">
                  <c:v>175.48</c:v>
                </c:pt>
                <c:pt idx="11">
                  <c:v>209.756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2E-4CC8-822E-C5189B5EB0DA}"/>
            </c:ext>
          </c:extLst>
        </c:ser>
        <c:ser>
          <c:idx val="1"/>
          <c:order val="1"/>
          <c:tx>
            <c:v>Demanda Ponta Medida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entrada'!$E$4:$E$15</c:f>
              <c:numCache>
                <c:formatCode>General</c:formatCode>
                <c:ptCount val="12"/>
                <c:pt idx="0">
                  <c:v>38.54</c:v>
                </c:pt>
                <c:pt idx="1">
                  <c:v>39.359999999999992</c:v>
                </c:pt>
                <c:pt idx="2">
                  <c:v>38.54</c:v>
                </c:pt>
                <c:pt idx="3">
                  <c:v>43.951999999999998</c:v>
                </c:pt>
                <c:pt idx="4">
                  <c:v>34.931999999999995</c:v>
                </c:pt>
                <c:pt idx="5">
                  <c:v>37.884</c:v>
                </c:pt>
                <c:pt idx="6">
                  <c:v>33.455999999999996</c:v>
                </c:pt>
                <c:pt idx="7">
                  <c:v>32.635999999999996</c:v>
                </c:pt>
                <c:pt idx="8">
                  <c:v>35.587999999999994</c:v>
                </c:pt>
                <c:pt idx="9">
                  <c:v>41.655999999999999</c:v>
                </c:pt>
                <c:pt idx="10">
                  <c:v>41.819999999999993</c:v>
                </c:pt>
                <c:pt idx="11">
                  <c:v>41.819999999999993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2E-4CC8-822E-C5189B5EB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98586576"/>
        <c:axId val="898582224"/>
      </c:barChart>
      <c:lineChart>
        <c:grouping val="standard"/>
        <c:varyColors val="0"/>
        <c:ser>
          <c:idx val="2"/>
          <c:order val="2"/>
          <c:tx>
            <c:v>Demanda Contratada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('Tarifa Verde Atual'!$S$3,'Tarifa Verde Atual'!$S$3,'Tarifa Verde Atual'!$S$3,'Tarifa Verde Atual'!$S$3,'Tarifa Verde Atual'!$S$3,'Tarifa Verde Atual'!$S$3,'Tarifa Verde Atual'!$S$3,'Tarifa Verde Atual'!$S$3,'Tarifa Verde Atual'!$S$3,'Tarifa Verde Atual'!$S$3,'Tarifa Verde Atual'!$S$3,'Tarifa Verde Atual'!$S$3)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82E-4CC8-822E-C5189B5EB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86576"/>
        <c:axId val="898582224"/>
      </c:lineChart>
      <c:dateAx>
        <c:axId val="898586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82224"/>
        <c:crosses val="autoZero"/>
        <c:auto val="1"/>
        <c:lblOffset val="100"/>
        <c:baseTimeUnit val="months"/>
      </c:dateAx>
      <c:valAx>
        <c:axId val="8985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Demanda</a:t>
                </a:r>
                <a:r>
                  <a:rPr lang="pt-BR" sz="1200" baseline="0"/>
                  <a:t> (kW)</a:t>
                </a:r>
                <a:endParaRPr lang="pt-B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035330602062705E-2"/>
          <c:y val="0.81501184303181617"/>
          <c:w val="0.92982247269350293"/>
          <c:h val="0.16059791306574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pt-BR" b="1">
                <a:solidFill>
                  <a:schemeClr val="tx1"/>
                </a:solidFill>
              </a:rPr>
              <a:t>Tarifa Horária Verde: Futuro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Demanda Fora de Ponta Medida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entrada'!$F$4:$F$15</c:f>
              <c:numCache>
                <c:formatCode>General</c:formatCode>
                <c:ptCount val="12"/>
                <c:pt idx="0">
                  <c:v>183.51599999999999</c:v>
                </c:pt>
                <c:pt idx="1">
                  <c:v>167.93600000000001</c:v>
                </c:pt>
                <c:pt idx="2">
                  <c:v>158.096</c:v>
                </c:pt>
                <c:pt idx="3">
                  <c:v>172.036</c:v>
                </c:pt>
                <c:pt idx="4">
                  <c:v>183.68</c:v>
                </c:pt>
                <c:pt idx="5">
                  <c:v>185.48400000000001</c:v>
                </c:pt>
                <c:pt idx="6">
                  <c:v>171.54400000000001</c:v>
                </c:pt>
                <c:pt idx="7">
                  <c:v>188.928</c:v>
                </c:pt>
                <c:pt idx="8">
                  <c:v>165.96799999999999</c:v>
                </c:pt>
                <c:pt idx="9">
                  <c:v>174.82400000000001</c:v>
                </c:pt>
                <c:pt idx="10">
                  <c:v>175.48</c:v>
                </c:pt>
                <c:pt idx="11">
                  <c:v>209.756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D2-449A-B6A4-AEECA4930797}"/>
            </c:ext>
          </c:extLst>
        </c:ser>
        <c:ser>
          <c:idx val="1"/>
          <c:order val="1"/>
          <c:tx>
            <c:v>Demanda Ponta Medida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entrada'!$E$4:$E$15</c:f>
              <c:numCache>
                <c:formatCode>General</c:formatCode>
                <c:ptCount val="12"/>
                <c:pt idx="0">
                  <c:v>38.54</c:v>
                </c:pt>
                <c:pt idx="1">
                  <c:v>39.359999999999992</c:v>
                </c:pt>
                <c:pt idx="2">
                  <c:v>38.54</c:v>
                </c:pt>
                <c:pt idx="3">
                  <c:v>43.951999999999998</c:v>
                </c:pt>
                <c:pt idx="4">
                  <c:v>34.931999999999995</c:v>
                </c:pt>
                <c:pt idx="5">
                  <c:v>37.884</c:v>
                </c:pt>
                <c:pt idx="6">
                  <c:v>33.455999999999996</c:v>
                </c:pt>
                <c:pt idx="7">
                  <c:v>32.635999999999996</c:v>
                </c:pt>
                <c:pt idx="8">
                  <c:v>35.587999999999994</c:v>
                </c:pt>
                <c:pt idx="9">
                  <c:v>41.655999999999999</c:v>
                </c:pt>
                <c:pt idx="10">
                  <c:v>41.819999999999993</c:v>
                </c:pt>
                <c:pt idx="11">
                  <c:v>41.819999999999993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D2-449A-B6A4-AEECA4930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98592560"/>
        <c:axId val="898586032"/>
      </c:barChart>
      <c:lineChart>
        <c:grouping val="standard"/>
        <c:varyColors val="0"/>
        <c:ser>
          <c:idx val="2"/>
          <c:order val="2"/>
          <c:tx>
            <c:v>Demanda Contratada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('Tarifa Verde Futuro'!$S$3,'Tarifa Verde Futuro'!$S$3,'Tarifa Verde Futuro'!$S$3,'Tarifa Verde Futuro'!$S$3,'Tarifa Verde Futuro'!$S$3,'Tarifa Verde Futuro'!$S$3,'Tarifa Verde Futuro'!$S$3,'Tarifa Verde Futuro'!$S$3,'Tarifa Verde Futuro'!$S$3,'Tarifa Verde Futuro'!$S$3,'Tarifa Verde Futuro'!$S$3,'Tarifa Verde Futuro'!$S$3)</c:f>
              <c:numCache>
                <c:formatCode>General</c:formatCode>
                <c:ptCount val="12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D2-449A-B6A4-AEECA4930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2560"/>
        <c:axId val="898586032"/>
      </c:lineChart>
      <c:dateAx>
        <c:axId val="898592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86032"/>
        <c:crosses val="autoZero"/>
        <c:auto val="1"/>
        <c:lblOffset val="100"/>
        <c:baseTimeUnit val="months"/>
      </c:dateAx>
      <c:valAx>
        <c:axId val="8985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Demanda</a:t>
                </a:r>
                <a:r>
                  <a:rPr lang="pt-BR" sz="1200" baseline="0"/>
                  <a:t> (kW)</a:t>
                </a:r>
                <a:endParaRPr lang="pt-B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9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035330602062705E-2"/>
          <c:y val="0.81501184303181617"/>
          <c:w val="0.92982247269350293"/>
          <c:h val="0.16059791306574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pt-BR" b="1">
                <a:solidFill>
                  <a:schemeClr val="tx1"/>
                </a:solidFill>
              </a:rPr>
              <a:t>Tarifa Horária Azul: Atual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Demanda Fora de Ponta Medida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entrada'!$F$4:$F$15</c:f>
              <c:numCache>
                <c:formatCode>General</c:formatCode>
                <c:ptCount val="12"/>
                <c:pt idx="0">
                  <c:v>183.51599999999999</c:v>
                </c:pt>
                <c:pt idx="1">
                  <c:v>167.93600000000001</c:v>
                </c:pt>
                <c:pt idx="2">
                  <c:v>158.096</c:v>
                </c:pt>
                <c:pt idx="3">
                  <c:v>172.036</c:v>
                </c:pt>
                <c:pt idx="4">
                  <c:v>183.68</c:v>
                </c:pt>
                <c:pt idx="5">
                  <c:v>185.48400000000001</c:v>
                </c:pt>
                <c:pt idx="6">
                  <c:v>171.54400000000001</c:v>
                </c:pt>
                <c:pt idx="7">
                  <c:v>188.928</c:v>
                </c:pt>
                <c:pt idx="8">
                  <c:v>165.96799999999999</c:v>
                </c:pt>
                <c:pt idx="9">
                  <c:v>174.82400000000001</c:v>
                </c:pt>
                <c:pt idx="10">
                  <c:v>175.48</c:v>
                </c:pt>
                <c:pt idx="11">
                  <c:v>209.756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8A-4E5E-9A2A-2932F347BBD1}"/>
            </c:ext>
          </c:extLst>
        </c:ser>
        <c:ser>
          <c:idx val="1"/>
          <c:order val="1"/>
          <c:tx>
            <c:v>Demanda Ponta Medida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entrada'!$E$4:$E$15</c:f>
              <c:numCache>
                <c:formatCode>General</c:formatCode>
                <c:ptCount val="12"/>
                <c:pt idx="0">
                  <c:v>38.54</c:v>
                </c:pt>
                <c:pt idx="1">
                  <c:v>39.359999999999992</c:v>
                </c:pt>
                <c:pt idx="2">
                  <c:v>38.54</c:v>
                </c:pt>
                <c:pt idx="3">
                  <c:v>43.951999999999998</c:v>
                </c:pt>
                <c:pt idx="4">
                  <c:v>34.931999999999995</c:v>
                </c:pt>
                <c:pt idx="5">
                  <c:v>37.884</c:v>
                </c:pt>
                <c:pt idx="6">
                  <c:v>33.455999999999996</c:v>
                </c:pt>
                <c:pt idx="7">
                  <c:v>32.635999999999996</c:v>
                </c:pt>
                <c:pt idx="8">
                  <c:v>35.587999999999994</c:v>
                </c:pt>
                <c:pt idx="9">
                  <c:v>41.655999999999999</c:v>
                </c:pt>
                <c:pt idx="10">
                  <c:v>41.819999999999993</c:v>
                </c:pt>
                <c:pt idx="11">
                  <c:v>41.819999999999993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8A-4E5E-9A2A-2932F347B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98595824"/>
        <c:axId val="898583312"/>
      </c:barChart>
      <c:lineChart>
        <c:grouping val="standard"/>
        <c:varyColors val="0"/>
        <c:ser>
          <c:idx val="2"/>
          <c:order val="2"/>
          <c:tx>
            <c:v>Demanda Contratada Fora de Ponta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('Tarifa Azul Atual'!$V$4,'Tarifa Azul Atual'!$V$4,'Tarifa Azul Atual'!$V$4,'Tarifa Azul Atual'!$V$4,'Tarifa Azul Atual'!$V$4,'Tarifa Azul Atual'!$V$4,'Tarifa Azul Atual'!$V$4,'Tarifa Azul Atual'!$V$4,'Tarifa Azul Atual'!$V$4,'Tarifa Azul Atual'!$V$4,'Tarifa Azul Atual'!$V$4,'Tarifa Azul Atual'!$V$4)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8A-4E5E-9A2A-2932F347BBD1}"/>
            </c:ext>
          </c:extLst>
        </c:ser>
        <c:ser>
          <c:idx val="3"/>
          <c:order val="3"/>
          <c:tx>
            <c:v>Demanda Contratada Ponta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('Tarifa Azul Atual'!$V$3,'Tarifa Azul Atual'!$V$3,'Tarifa Azul Atual'!$V$3,'Tarifa Azul Atual'!$V$3,'Tarifa Azul Atual'!$V$3,'Tarifa Azul Atual'!$V$3,'Tarifa Azul Atual'!$V$3,'Tarifa Azul Atual'!$V$3,'Tarifa Azul Atual'!$V$3,'Tarifa Azul Atual'!$V$3,'Tarifa Azul Atual'!$V$3,'Tarifa Azul Atual'!$V$3)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8A-4E5E-9A2A-2932F347B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24"/>
        <c:axId val="898583312"/>
      </c:lineChart>
      <c:dateAx>
        <c:axId val="898595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83312"/>
        <c:crosses val="autoZero"/>
        <c:auto val="1"/>
        <c:lblOffset val="100"/>
        <c:baseTimeUnit val="months"/>
      </c:dateAx>
      <c:valAx>
        <c:axId val="89858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>
                    <a:solidFill>
                      <a:schemeClr val="tx1"/>
                    </a:solidFill>
                  </a:rPr>
                  <a:t>Demanda</a:t>
                </a:r>
                <a:r>
                  <a:rPr lang="pt-BR" sz="1200" baseline="0">
                    <a:solidFill>
                      <a:schemeClr val="tx1"/>
                    </a:solidFill>
                  </a:rPr>
                  <a:t> (kW)</a:t>
                </a:r>
                <a:endParaRPr lang="pt-BR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9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035330602062705E-2"/>
          <c:y val="0.81501184303181617"/>
          <c:w val="0.91762164170787541"/>
          <c:h val="0.16059791306574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pt-BR" b="1">
                <a:solidFill>
                  <a:schemeClr val="tx1"/>
                </a:solidFill>
              </a:rPr>
              <a:t>Tarifa Horária Azul: Futuro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Demanda Fora de Ponta Medida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entrada'!$F$4:$F$15</c:f>
              <c:numCache>
                <c:formatCode>General</c:formatCode>
                <c:ptCount val="12"/>
                <c:pt idx="0">
                  <c:v>183.51599999999999</c:v>
                </c:pt>
                <c:pt idx="1">
                  <c:v>167.93600000000001</c:v>
                </c:pt>
                <c:pt idx="2">
                  <c:v>158.096</c:v>
                </c:pt>
                <c:pt idx="3">
                  <c:v>172.036</c:v>
                </c:pt>
                <c:pt idx="4">
                  <c:v>183.68</c:v>
                </c:pt>
                <c:pt idx="5">
                  <c:v>185.48400000000001</c:v>
                </c:pt>
                <c:pt idx="6">
                  <c:v>171.54400000000001</c:v>
                </c:pt>
                <c:pt idx="7">
                  <c:v>188.928</c:v>
                </c:pt>
                <c:pt idx="8">
                  <c:v>165.96799999999999</c:v>
                </c:pt>
                <c:pt idx="9">
                  <c:v>174.82400000000001</c:v>
                </c:pt>
                <c:pt idx="10">
                  <c:v>175.48</c:v>
                </c:pt>
                <c:pt idx="11">
                  <c:v>209.756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30-4933-B060-32522B34DFB0}"/>
            </c:ext>
          </c:extLst>
        </c:ser>
        <c:ser>
          <c:idx val="1"/>
          <c:order val="1"/>
          <c:tx>
            <c:v>Demanda Ponta Medida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'Dados de entrada'!$E$4:$E$15</c:f>
              <c:numCache>
                <c:formatCode>General</c:formatCode>
                <c:ptCount val="12"/>
                <c:pt idx="0">
                  <c:v>38.54</c:v>
                </c:pt>
                <c:pt idx="1">
                  <c:v>39.359999999999992</c:v>
                </c:pt>
                <c:pt idx="2">
                  <c:v>38.54</c:v>
                </c:pt>
                <c:pt idx="3">
                  <c:v>43.951999999999998</c:v>
                </c:pt>
                <c:pt idx="4">
                  <c:v>34.931999999999995</c:v>
                </c:pt>
                <c:pt idx="5">
                  <c:v>37.884</c:v>
                </c:pt>
                <c:pt idx="6">
                  <c:v>33.455999999999996</c:v>
                </c:pt>
                <c:pt idx="7">
                  <c:v>32.635999999999996</c:v>
                </c:pt>
                <c:pt idx="8">
                  <c:v>35.587999999999994</c:v>
                </c:pt>
                <c:pt idx="9">
                  <c:v>41.655999999999999</c:v>
                </c:pt>
                <c:pt idx="10">
                  <c:v>41.819999999999993</c:v>
                </c:pt>
                <c:pt idx="11">
                  <c:v>41.819999999999993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30-4933-B060-32522B34D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98593648"/>
        <c:axId val="898587664"/>
      </c:barChart>
      <c:lineChart>
        <c:grouping val="standard"/>
        <c:varyColors val="0"/>
        <c:ser>
          <c:idx val="2"/>
          <c:order val="2"/>
          <c:tx>
            <c:v>Demanda Contratada Fora de Ponta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'Dados de entrada'!$B$4:$B$15</c:f>
              <c:numCache>
                <c:formatCode>mmm\-yy</c:formatCode>
                <c:ptCount val="12"/>
                <c:pt idx="0">
                  <c:v>44593</c:v>
                </c:pt>
                <c:pt idx="1">
                  <c:v>44562</c:v>
                </c:pt>
                <c:pt idx="2">
                  <c:v>44531</c:v>
                </c:pt>
                <c:pt idx="3">
                  <c:v>44501</c:v>
                </c:pt>
                <c:pt idx="4">
                  <c:v>44470</c:v>
                </c:pt>
                <c:pt idx="5">
                  <c:v>44440</c:v>
                </c:pt>
                <c:pt idx="6">
                  <c:v>44409</c:v>
                </c:pt>
                <c:pt idx="7">
                  <c:v>44378</c:v>
                </c:pt>
                <c:pt idx="8">
                  <c:v>44348</c:v>
                </c:pt>
                <c:pt idx="9">
                  <c:v>44317</c:v>
                </c:pt>
                <c:pt idx="10">
                  <c:v>44287</c:v>
                </c:pt>
                <c:pt idx="11">
                  <c:v>44256</c:v>
                </c:pt>
              </c:numCache>
            </c:numRef>
          </c:cat>
          <c:val>
            <c:numRef>
              <c:f>('Tarifa Azul Futuro'!$V$4,'Tarifa Azul Futuro'!$V$4,'Tarifa Azul Futuro'!$V$4,'Tarifa Azul Futuro'!$V$4,'Tarifa Azul Futuro'!$V$4,'Tarifa Azul Futuro'!$V$4,'Tarifa Azul Futuro'!$V$4,'Tarifa Azul Futuro'!$V$4,'Tarifa Azul Futuro'!$V$4,'Tarifa Azul Futuro'!$V$4,'Tarifa Azul Futuro'!$V$4,'Tarifa Azul Futuro'!$V$4)</c:f>
              <c:numCache>
                <c:formatCode>General</c:formatCode>
                <c:ptCount val="12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30-4933-B060-32522B34DFB0}"/>
            </c:ext>
          </c:extLst>
        </c:ser>
        <c:ser>
          <c:idx val="3"/>
          <c:order val="3"/>
          <c:tx>
            <c:v>Demanda Contratada Ponta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('Tarifa Azul Futuro'!$V$3,'Tarifa Azul Futuro'!$V$3,'Tarifa Azul Futuro'!$V$3,'Tarifa Azul Futuro'!$V$3,'Tarifa Azul Futuro'!$V$3,'Tarifa Azul Futuro'!$V$3,'Tarifa Azul Futuro'!$V$3,'Tarifa Azul Futuro'!$V$3,'Tarifa Azul Futuro'!$V$3,'Tarifa Azul Futuro'!$V$3,'Tarifa Azul Futuro'!$V$3,'Tarifa Azul Futuro'!$V$3)</c:f>
              <c:numCache>
                <c:formatCode>General</c:formatCode>
                <c:ptCount val="1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30-4933-B060-32522B34D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3648"/>
        <c:axId val="898587664"/>
      </c:lineChart>
      <c:dateAx>
        <c:axId val="898593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87664"/>
        <c:crosses val="autoZero"/>
        <c:auto val="1"/>
        <c:lblOffset val="100"/>
        <c:baseTimeUnit val="months"/>
      </c:dateAx>
      <c:valAx>
        <c:axId val="89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>
                    <a:solidFill>
                      <a:schemeClr val="tx1"/>
                    </a:solidFill>
                  </a:rPr>
                  <a:t>Demanda</a:t>
                </a:r>
                <a:r>
                  <a:rPr lang="pt-BR" sz="1200" baseline="0">
                    <a:solidFill>
                      <a:schemeClr val="tx1"/>
                    </a:solidFill>
                  </a:rPr>
                  <a:t> (kW)</a:t>
                </a:r>
                <a:endParaRPr lang="pt-BR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85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035330602062705E-2"/>
          <c:y val="0.81501184303181617"/>
          <c:w val="0.91762164170787541"/>
          <c:h val="0.16059791306574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161925</xdr:rowOff>
    </xdr:from>
    <xdr:to>
      <xdr:col>11</xdr:col>
      <xdr:colOff>219075</xdr:colOff>
      <xdr:row>18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166688</xdr:rowOff>
    </xdr:from>
    <xdr:to>
      <xdr:col>22</xdr:col>
      <xdr:colOff>140493</xdr:colOff>
      <xdr:row>18</xdr:row>
      <xdr:rowOff>52388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595313</xdr:colOff>
      <xdr:row>20</xdr:row>
      <xdr:rowOff>71438</xdr:rowOff>
    </xdr:from>
    <xdr:to>
      <xdr:col>11</xdr:col>
      <xdr:colOff>223838</xdr:colOff>
      <xdr:row>36</xdr:row>
      <xdr:rowOff>147638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20</xdr:row>
      <xdr:rowOff>47624</xdr:rowOff>
    </xdr:from>
    <xdr:to>
      <xdr:col>22</xdr:col>
      <xdr:colOff>128587</xdr:colOff>
      <xdr:row>36</xdr:row>
      <xdr:rowOff>123824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7.5703125" customWidth="1"/>
    <col min="2" max="2" width="9.140625" customWidth="1"/>
    <col min="3" max="3" width="13" customWidth="1"/>
    <col min="4" max="4" width="13.28515625" customWidth="1"/>
    <col min="5" max="5" width="11.7109375" customWidth="1"/>
    <col min="6" max="6" width="12.85546875" customWidth="1"/>
    <col min="7" max="7" width="9.28515625" customWidth="1"/>
    <col min="8" max="8" width="10.28515625" customWidth="1"/>
    <col min="9" max="9" width="10.140625" customWidth="1"/>
    <col min="10" max="10" width="11.85546875" customWidth="1"/>
    <col min="11" max="11" width="10.5703125" customWidth="1"/>
    <col min="12" max="12" width="11.42578125" customWidth="1"/>
    <col min="13" max="13" width="11" customWidth="1"/>
    <col min="14" max="14" width="9.140625" customWidth="1"/>
    <col min="15" max="15" width="8.140625" customWidth="1"/>
    <col min="16" max="16" width="15.140625" bestFit="1" customWidth="1"/>
    <col min="17" max="17" width="35" bestFit="1" customWidth="1"/>
    <col min="18" max="18" width="15.140625" bestFit="1" customWidth="1"/>
    <col min="19" max="19" width="35.140625" bestFit="1" customWidth="1"/>
    <col min="20" max="20" width="15.140625" bestFit="1" customWidth="1"/>
  </cols>
  <sheetData>
    <row r="1" spans="2:17" ht="40.5" customHeight="1" thickBot="1" x14ac:dyDescent="0.3"/>
    <row r="2" spans="2:17" ht="15.75" thickBot="1" x14ac:dyDescent="0.3">
      <c r="B2" s="183" t="s">
        <v>0</v>
      </c>
      <c r="C2" s="184"/>
      <c r="D2" s="184"/>
      <c r="E2" s="184"/>
      <c r="F2" s="184"/>
      <c r="G2" s="184"/>
      <c r="H2" s="184"/>
      <c r="I2" s="185"/>
      <c r="J2" s="183" t="s">
        <v>1</v>
      </c>
      <c r="K2" s="184"/>
      <c r="L2" s="184"/>
      <c r="M2" s="185"/>
      <c r="N2" s="183" t="s">
        <v>2</v>
      </c>
      <c r="O2" s="184"/>
    </row>
    <row r="3" spans="2:17" ht="53.25" customHeight="1" thickBot="1" x14ac:dyDescent="0.3">
      <c r="B3" s="155" t="s">
        <v>3</v>
      </c>
      <c r="C3" s="156" t="s">
        <v>4</v>
      </c>
      <c r="D3" s="156" t="s">
        <v>5</v>
      </c>
      <c r="E3" s="156" t="s">
        <v>6</v>
      </c>
      <c r="F3" s="156" t="s">
        <v>7</v>
      </c>
      <c r="G3" s="156" t="s">
        <v>8</v>
      </c>
      <c r="H3" s="156" t="s">
        <v>9</v>
      </c>
      <c r="I3" s="157" t="s">
        <v>10</v>
      </c>
      <c r="J3" s="158" t="s">
        <v>11</v>
      </c>
      <c r="K3" s="159" t="s">
        <v>12</v>
      </c>
      <c r="L3" s="159" t="s">
        <v>13</v>
      </c>
      <c r="M3" s="157" t="s">
        <v>14</v>
      </c>
      <c r="N3" s="160" t="s">
        <v>73</v>
      </c>
      <c r="O3" s="88" t="s">
        <v>15</v>
      </c>
    </row>
    <row r="4" spans="2:17" x14ac:dyDescent="0.25">
      <c r="B4" s="146">
        <v>44593</v>
      </c>
      <c r="C4" s="147">
        <v>1822.7370000000001</v>
      </c>
      <c r="D4" s="148">
        <v>36302.506999999998</v>
      </c>
      <c r="E4" s="149">
        <v>38.54</v>
      </c>
      <c r="F4" s="149">
        <v>183.51599999999999</v>
      </c>
      <c r="G4" s="150">
        <v>856.73599999999999</v>
      </c>
      <c r="H4" s="151">
        <v>0</v>
      </c>
      <c r="I4" s="152">
        <v>170.87</v>
      </c>
      <c r="J4" s="153">
        <v>5413.79</v>
      </c>
      <c r="K4" s="151">
        <v>0</v>
      </c>
      <c r="L4" s="151">
        <v>-7685.13</v>
      </c>
      <c r="M4" s="152">
        <v>0</v>
      </c>
      <c r="N4" s="154">
        <v>1.01</v>
      </c>
      <c r="O4" s="178">
        <v>4.6900000000000004</v>
      </c>
      <c r="Q4" s="8"/>
    </row>
    <row r="5" spans="2:17" x14ac:dyDescent="0.25">
      <c r="B5" s="34">
        <v>44562</v>
      </c>
      <c r="C5" s="4">
        <v>1996.905</v>
      </c>
      <c r="D5" s="5">
        <v>30343.444</v>
      </c>
      <c r="E5" s="1">
        <v>39.359999999999992</v>
      </c>
      <c r="F5" s="1">
        <v>167.93600000000001</v>
      </c>
      <c r="G5" s="13">
        <v>696.54899999999998</v>
      </c>
      <c r="H5" s="12">
        <v>0</v>
      </c>
      <c r="I5" s="57">
        <v>173.38900000000001</v>
      </c>
      <c r="J5" s="75">
        <v>4592.33</v>
      </c>
      <c r="K5" s="12">
        <v>0</v>
      </c>
      <c r="L5" s="12">
        <v>-551.03</v>
      </c>
      <c r="M5" s="57">
        <v>0</v>
      </c>
      <c r="N5" s="64">
        <v>0.56000000000000005</v>
      </c>
      <c r="O5" s="179">
        <v>2.61</v>
      </c>
      <c r="Q5" s="8"/>
    </row>
    <row r="6" spans="2:17" x14ac:dyDescent="0.25">
      <c r="B6" s="34">
        <v>44531</v>
      </c>
      <c r="C6" s="4">
        <v>1891.4939999999999</v>
      </c>
      <c r="D6" s="5">
        <v>26619.455000000002</v>
      </c>
      <c r="E6" s="1">
        <v>38.54</v>
      </c>
      <c r="F6" s="1">
        <v>158.096</v>
      </c>
      <c r="G6" s="13">
        <v>340.38200000000001</v>
      </c>
      <c r="H6" s="12">
        <v>0</v>
      </c>
      <c r="I6" s="57">
        <v>150.27000000000001</v>
      </c>
      <c r="J6" s="75">
        <v>4048.55</v>
      </c>
      <c r="K6" s="12">
        <f>528.04+499</f>
        <v>1027.04</v>
      </c>
      <c r="L6" s="12">
        <v>-1311.61</v>
      </c>
      <c r="M6" s="57">
        <v>0</v>
      </c>
      <c r="N6" s="65">
        <v>1.34</v>
      </c>
      <c r="O6" s="180">
        <v>6.16</v>
      </c>
      <c r="Q6" s="8"/>
    </row>
    <row r="7" spans="2:17" x14ac:dyDescent="0.25">
      <c r="B7" s="34">
        <v>44501</v>
      </c>
      <c r="C7" s="4">
        <v>1548.1189999999999</v>
      </c>
      <c r="D7" s="5">
        <v>34978.904000000002</v>
      </c>
      <c r="E7" s="1">
        <v>43.951999999999998</v>
      </c>
      <c r="F7" s="1">
        <v>172.036</v>
      </c>
      <c r="G7" s="13">
        <v>1579.2380000000001</v>
      </c>
      <c r="H7" s="12">
        <v>0</v>
      </c>
      <c r="I7" s="57">
        <v>178.76</v>
      </c>
      <c r="J7" s="75">
        <v>5186.83</v>
      </c>
      <c r="K7" s="12">
        <v>844.87</v>
      </c>
      <c r="L7" s="12">
        <v>0</v>
      </c>
      <c r="M7" s="57">
        <v>0</v>
      </c>
      <c r="N7" s="66">
        <v>1.34</v>
      </c>
      <c r="O7" s="181">
        <v>6.16</v>
      </c>
      <c r="Q7" s="8"/>
    </row>
    <row r="8" spans="2:17" x14ac:dyDescent="0.25">
      <c r="B8" s="34">
        <v>44470</v>
      </c>
      <c r="C8" s="4">
        <v>1486.66</v>
      </c>
      <c r="D8" s="5">
        <v>38577.063999999998</v>
      </c>
      <c r="E8" s="1">
        <v>34.931999999999995</v>
      </c>
      <c r="F8" s="1">
        <v>183.68</v>
      </c>
      <c r="G8" s="13">
        <v>2594.2339999999999</v>
      </c>
      <c r="H8" s="12">
        <v>0</v>
      </c>
      <c r="I8" s="57">
        <v>192.41300000000001</v>
      </c>
      <c r="J8" s="75">
        <v>5689.05</v>
      </c>
      <c r="K8" s="12">
        <v>0</v>
      </c>
      <c r="L8" s="12">
        <v>0</v>
      </c>
      <c r="M8" s="57">
        <v>0</v>
      </c>
      <c r="N8" s="66">
        <v>1.34</v>
      </c>
      <c r="O8" s="181">
        <v>6.16</v>
      </c>
      <c r="Q8" s="8"/>
    </row>
    <row r="9" spans="2:17" x14ac:dyDescent="0.25">
      <c r="B9" s="34">
        <v>44440</v>
      </c>
      <c r="C9" s="4">
        <v>1632.538</v>
      </c>
      <c r="D9" s="5">
        <v>41508.81</v>
      </c>
      <c r="E9" s="1">
        <v>37.884</v>
      </c>
      <c r="F9" s="1">
        <v>185.48400000000001</v>
      </c>
      <c r="G9" s="13">
        <v>2727.4430000000002</v>
      </c>
      <c r="H9" s="12">
        <v>0</v>
      </c>
      <c r="I9" s="57">
        <v>199.30100000000002</v>
      </c>
      <c r="J9" s="75">
        <v>6126.07</v>
      </c>
      <c r="K9" s="12">
        <v>0</v>
      </c>
      <c r="L9" s="12">
        <v>0</v>
      </c>
      <c r="M9" s="57">
        <v>0</v>
      </c>
      <c r="N9" s="66">
        <v>0.97</v>
      </c>
      <c r="O9" s="181">
        <v>4.47</v>
      </c>
      <c r="Q9" s="8"/>
    </row>
    <row r="10" spans="2:17" x14ac:dyDescent="0.25">
      <c r="B10" s="34">
        <v>44409</v>
      </c>
      <c r="C10" s="4">
        <v>1625.568</v>
      </c>
      <c r="D10" s="5">
        <v>40296.85</v>
      </c>
      <c r="E10" s="1">
        <v>33.455999999999996</v>
      </c>
      <c r="F10" s="1">
        <v>171.54400000000001</v>
      </c>
      <c r="G10" s="12">
        <v>3127.029</v>
      </c>
      <c r="H10" s="12">
        <v>0</v>
      </c>
      <c r="I10" s="58">
        <v>183.14700000000002</v>
      </c>
      <c r="J10" s="75">
        <v>3979.28</v>
      </c>
      <c r="K10" s="12">
        <v>0</v>
      </c>
      <c r="L10" s="12">
        <v>0</v>
      </c>
      <c r="M10" s="57">
        <v>0</v>
      </c>
      <c r="N10" s="66">
        <v>1.1100000000000001</v>
      </c>
      <c r="O10" s="181">
        <v>5.1100000000000003</v>
      </c>
      <c r="Q10" s="8"/>
    </row>
    <row r="11" spans="2:17" x14ac:dyDescent="0.25">
      <c r="B11" s="34">
        <v>44378</v>
      </c>
      <c r="C11" s="4">
        <v>1619.91</v>
      </c>
      <c r="D11" s="5">
        <v>41063.14</v>
      </c>
      <c r="E11" s="1">
        <v>32.635999999999996</v>
      </c>
      <c r="F11" s="1">
        <v>188.928</v>
      </c>
      <c r="G11" s="12">
        <v>2484.723</v>
      </c>
      <c r="H11" s="12">
        <v>0</v>
      </c>
      <c r="I11" s="58">
        <v>194.791</v>
      </c>
      <c r="J11" s="75">
        <v>4051.47</v>
      </c>
      <c r="K11" s="12">
        <v>0</v>
      </c>
      <c r="L11" s="12">
        <v>-143.11000000000001</v>
      </c>
      <c r="M11" s="57">
        <v>0</v>
      </c>
      <c r="N11" s="66">
        <v>1.03</v>
      </c>
      <c r="O11" s="181">
        <v>4.71</v>
      </c>
      <c r="Q11" s="8"/>
    </row>
    <row r="12" spans="2:17" x14ac:dyDescent="0.25">
      <c r="B12" s="34">
        <v>44348</v>
      </c>
      <c r="C12" s="13">
        <v>1690.6759999999999</v>
      </c>
      <c r="D12" s="13">
        <v>23820.918000000001</v>
      </c>
      <c r="E12" s="1">
        <v>35.587999999999994</v>
      </c>
      <c r="F12" s="1">
        <v>165.96799999999999</v>
      </c>
      <c r="G12" s="12">
        <v>556.57500000000005</v>
      </c>
      <c r="H12" s="12">
        <v>0</v>
      </c>
      <c r="I12" s="58">
        <v>168.346</v>
      </c>
      <c r="J12" s="75">
        <v>1592.69</v>
      </c>
      <c r="K12" s="12">
        <v>0</v>
      </c>
      <c r="L12" s="12">
        <v>-803.64</v>
      </c>
      <c r="M12" s="57">
        <v>0</v>
      </c>
      <c r="N12" s="66">
        <v>0.43</v>
      </c>
      <c r="O12" s="181">
        <v>1.97</v>
      </c>
      <c r="Q12" s="8"/>
    </row>
    <row r="13" spans="2:17" x14ac:dyDescent="0.25">
      <c r="B13" s="34">
        <v>44317</v>
      </c>
      <c r="C13" s="4">
        <v>1965.335</v>
      </c>
      <c r="D13" s="5">
        <v>32040.925999999999</v>
      </c>
      <c r="E13" s="1">
        <v>41.655999999999999</v>
      </c>
      <c r="F13" s="1">
        <v>174.82400000000001</v>
      </c>
      <c r="G13" s="12">
        <v>664.56899999999996</v>
      </c>
      <c r="H13" s="12">
        <v>0</v>
      </c>
      <c r="I13" s="58">
        <v>179.12900000000002</v>
      </c>
      <c r="J13" s="75">
        <v>1417.72</v>
      </c>
      <c r="K13" s="12">
        <v>0</v>
      </c>
      <c r="L13" s="12">
        <v>0</v>
      </c>
      <c r="M13" s="57">
        <v>0</v>
      </c>
      <c r="N13" s="66">
        <v>0.68</v>
      </c>
      <c r="O13" s="181">
        <v>3.16</v>
      </c>
      <c r="Q13" s="8"/>
    </row>
    <row r="14" spans="2:17" x14ac:dyDescent="0.25">
      <c r="B14" s="34">
        <v>44287</v>
      </c>
      <c r="C14" s="4">
        <v>1967.59</v>
      </c>
      <c r="D14" s="5">
        <v>39837.65</v>
      </c>
      <c r="E14" s="1">
        <v>41.819999999999993</v>
      </c>
      <c r="F14" s="1">
        <v>175.48</v>
      </c>
      <c r="G14" s="15">
        <v>1312.7380000000001</v>
      </c>
      <c r="H14" s="12">
        <v>0</v>
      </c>
      <c r="I14" s="58">
        <v>181.13799999999998</v>
      </c>
      <c r="J14" s="75">
        <v>561.44000000000005</v>
      </c>
      <c r="K14" s="12">
        <v>0</v>
      </c>
      <c r="L14" s="12">
        <v>-1531.3700000000001</v>
      </c>
      <c r="M14" s="57">
        <v>0</v>
      </c>
      <c r="N14" s="66">
        <v>0.78</v>
      </c>
      <c r="O14" s="181">
        <v>3.62</v>
      </c>
      <c r="Q14" s="8"/>
    </row>
    <row r="15" spans="2:17" ht="15.75" thickBot="1" x14ac:dyDescent="0.3">
      <c r="B15" s="35">
        <v>44256</v>
      </c>
      <c r="C15" s="59">
        <v>2279.1489999999999</v>
      </c>
      <c r="D15" s="60">
        <v>43003.218999999997</v>
      </c>
      <c r="E15" s="61">
        <v>41.819999999999993</v>
      </c>
      <c r="F15" s="61">
        <v>209.756</v>
      </c>
      <c r="G15" s="62">
        <v>1773.373</v>
      </c>
      <c r="H15" s="62">
        <v>0</v>
      </c>
      <c r="I15" s="63">
        <v>217.17699999999999</v>
      </c>
      <c r="J15" s="76">
        <v>608.14</v>
      </c>
      <c r="K15" s="62">
        <v>0</v>
      </c>
      <c r="L15" s="62">
        <v>0</v>
      </c>
      <c r="M15" s="77">
        <v>0</v>
      </c>
      <c r="N15" s="67">
        <v>1.08</v>
      </c>
      <c r="O15" s="182">
        <v>4.9800000000000004</v>
      </c>
      <c r="Q15" s="8"/>
    </row>
    <row r="16" spans="2:17" ht="15.75" thickBot="1" x14ac:dyDescent="0.3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7" t="s">
        <v>74</v>
      </c>
      <c r="N16" s="68">
        <f>AVERAGE(N4:N15)</f>
        <v>0.97249999999999981</v>
      </c>
      <c r="O16" s="69">
        <f>AVERAGE(O4:O15)</f>
        <v>4.4833333333333334</v>
      </c>
    </row>
  </sheetData>
  <mergeCells count="3">
    <mergeCell ref="B2:I2"/>
    <mergeCell ref="J2:M2"/>
    <mergeCell ref="N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zoomScaleNormal="100" workbookViewId="0">
      <selection activeCell="K11" sqref="K11"/>
    </sheetView>
  </sheetViews>
  <sheetFormatPr defaultRowHeight="15" x14ac:dyDescent="0.25"/>
  <cols>
    <col min="2" max="2" width="9.7109375" bestFit="1" customWidth="1"/>
    <col min="3" max="10" width="12.85546875" customWidth="1"/>
  </cols>
  <sheetData>
    <row r="1" spans="2:10" ht="39.75" customHeight="1" thickBot="1" x14ac:dyDescent="0.3"/>
    <row r="2" spans="2:10" ht="19.5" thickBot="1" x14ac:dyDescent="0.35">
      <c r="B2" s="189" t="s">
        <v>37</v>
      </c>
      <c r="C2" s="190"/>
      <c r="D2" s="190"/>
      <c r="E2" s="190"/>
      <c r="F2" s="190"/>
      <c r="G2" s="190"/>
      <c r="H2" s="190"/>
      <c r="I2" s="191"/>
    </row>
    <row r="3" spans="2:10" ht="66.75" customHeight="1" thickBot="1" x14ac:dyDescent="0.3">
      <c r="B3" s="43" t="s">
        <v>3</v>
      </c>
      <c r="C3" s="44" t="s">
        <v>31</v>
      </c>
      <c r="D3" s="44" t="s">
        <v>49</v>
      </c>
      <c r="E3" s="44" t="s">
        <v>33</v>
      </c>
      <c r="F3" s="44" t="s">
        <v>50</v>
      </c>
      <c r="G3" s="44" t="s">
        <v>35</v>
      </c>
      <c r="H3" s="44" t="s">
        <v>19</v>
      </c>
      <c r="I3" s="45" t="s">
        <v>75</v>
      </c>
    </row>
    <row r="4" spans="2:10" x14ac:dyDescent="0.25">
      <c r="B4" s="70">
        <f>'Dados de entrada'!B4</f>
        <v>44593</v>
      </c>
      <c r="C4" s="83">
        <v>1.30315</v>
      </c>
      <c r="D4" s="83">
        <v>0.43480000000000002</v>
      </c>
      <c r="E4" s="83">
        <v>8.3739999999999995E-2</v>
      </c>
      <c r="F4" s="83">
        <v>0.26512000000000002</v>
      </c>
      <c r="G4" s="83">
        <v>33.47</v>
      </c>
      <c r="H4" s="83">
        <v>0.27926000000000001</v>
      </c>
      <c r="I4" s="84">
        <v>33.47</v>
      </c>
    </row>
    <row r="5" spans="2:10" x14ac:dyDescent="0.25">
      <c r="B5" s="46">
        <f>'Dados de entrada'!B5</f>
        <v>44562</v>
      </c>
      <c r="C5" s="85">
        <v>1.30315</v>
      </c>
      <c r="D5" s="85">
        <v>0.43480000000000002</v>
      </c>
      <c r="E5" s="85">
        <v>8.3739999999999995E-2</v>
      </c>
      <c r="F5" s="85">
        <v>0.26512000000000002</v>
      </c>
      <c r="G5" s="85">
        <v>33.47</v>
      </c>
      <c r="H5" s="85">
        <v>0.27926000000000001</v>
      </c>
      <c r="I5" s="81">
        <v>33.47</v>
      </c>
    </row>
    <row r="6" spans="2:10" s="6" customFormat="1" x14ac:dyDescent="0.25">
      <c r="B6" s="46">
        <f>'Dados de entrada'!B6</f>
        <v>44531</v>
      </c>
      <c r="C6" s="85">
        <v>1.30315</v>
      </c>
      <c r="D6" s="85">
        <v>0.43480000000000002</v>
      </c>
      <c r="E6" s="85">
        <v>8.3739999999999995E-2</v>
      </c>
      <c r="F6" s="85">
        <v>0.26512000000000002</v>
      </c>
      <c r="G6" s="85">
        <v>33.47</v>
      </c>
      <c r="H6" s="85">
        <v>0.27926000000000001</v>
      </c>
      <c r="I6" s="81">
        <v>33.47</v>
      </c>
    </row>
    <row r="7" spans="2:10" x14ac:dyDescent="0.25">
      <c r="B7" s="46">
        <f>'Dados de entrada'!B7</f>
        <v>44501</v>
      </c>
      <c r="C7" s="85">
        <v>1.30315</v>
      </c>
      <c r="D7" s="85">
        <v>0.43480000000000002</v>
      </c>
      <c r="E7" s="85">
        <v>8.3739999999999995E-2</v>
      </c>
      <c r="F7" s="85">
        <v>0.26512000000000002</v>
      </c>
      <c r="G7" s="85">
        <v>33.47</v>
      </c>
      <c r="H7" s="85">
        <v>0.27926000000000001</v>
      </c>
      <c r="I7" s="81">
        <v>33.47</v>
      </c>
    </row>
    <row r="8" spans="2:10" x14ac:dyDescent="0.25">
      <c r="B8" s="46">
        <f>'Dados de entrada'!B8</f>
        <v>44470</v>
      </c>
      <c r="C8" s="85">
        <v>1.30315</v>
      </c>
      <c r="D8" s="85">
        <v>0.43480000000000002</v>
      </c>
      <c r="E8" s="85">
        <v>8.3739999999999995E-2</v>
      </c>
      <c r="F8" s="85">
        <v>0.26512000000000002</v>
      </c>
      <c r="G8" s="85">
        <v>33.47</v>
      </c>
      <c r="H8" s="85">
        <v>0.27926000000000001</v>
      </c>
      <c r="I8" s="81">
        <v>33.47</v>
      </c>
    </row>
    <row r="9" spans="2:10" x14ac:dyDescent="0.25">
      <c r="B9" s="46">
        <f>'Dados de entrada'!B9</f>
        <v>44440</v>
      </c>
      <c r="C9" s="85">
        <v>1.30315</v>
      </c>
      <c r="D9" s="85">
        <v>0.43480000000000002</v>
      </c>
      <c r="E9" s="85">
        <v>8.3739999999999995E-2</v>
      </c>
      <c r="F9" s="85">
        <v>0.26512000000000002</v>
      </c>
      <c r="G9" s="85">
        <v>33.47</v>
      </c>
      <c r="H9" s="85">
        <v>0.27926000000000001</v>
      </c>
      <c r="I9" s="81">
        <v>33.47</v>
      </c>
    </row>
    <row r="10" spans="2:10" x14ac:dyDescent="0.25">
      <c r="B10" s="46">
        <f>'Dados de entrada'!B10</f>
        <v>44409</v>
      </c>
      <c r="C10" s="85">
        <v>1.25942161</v>
      </c>
      <c r="D10" s="85">
        <v>0.42940968000000002</v>
      </c>
      <c r="E10" s="85">
        <v>8.5083229999999996E-2</v>
      </c>
      <c r="F10" s="85">
        <v>0.26216065</v>
      </c>
      <c r="G10" s="85">
        <v>32.208064520000001</v>
      </c>
      <c r="H10" s="85">
        <v>0.27609741999999998</v>
      </c>
      <c r="I10" s="81">
        <v>32.208064520000001</v>
      </c>
    </row>
    <row r="11" spans="2:10" x14ac:dyDescent="0.25">
      <c r="B11" s="46">
        <f>'Dados de entrada'!B11</f>
        <v>44378</v>
      </c>
      <c r="C11" s="85">
        <v>1.0772200000000001</v>
      </c>
      <c r="D11" s="85">
        <v>0.40694999999999998</v>
      </c>
      <c r="E11" s="85">
        <v>9.0679999999999997E-2</v>
      </c>
      <c r="F11" s="85">
        <v>0.24983</v>
      </c>
      <c r="G11" s="85">
        <v>26.95</v>
      </c>
      <c r="H11" s="85">
        <v>0.26291999999999999</v>
      </c>
      <c r="I11" s="81">
        <v>26.95</v>
      </c>
    </row>
    <row r="12" spans="2:10" x14ac:dyDescent="0.25">
      <c r="B12" s="46">
        <f>'Dados de entrada'!B12</f>
        <v>44348</v>
      </c>
      <c r="C12" s="85">
        <v>1.0772200000000001</v>
      </c>
      <c r="D12" s="85">
        <v>0.40694999999999998</v>
      </c>
      <c r="E12" s="85">
        <v>9.0679999999999997E-2</v>
      </c>
      <c r="F12" s="85">
        <v>0.24983</v>
      </c>
      <c r="G12" s="85">
        <v>26.95</v>
      </c>
      <c r="H12" s="85">
        <v>0.26291999999999999</v>
      </c>
      <c r="I12" s="81">
        <v>26.95</v>
      </c>
    </row>
    <row r="13" spans="2:10" x14ac:dyDescent="0.25">
      <c r="B13" s="46">
        <f>'Dados de entrada'!B13</f>
        <v>44317</v>
      </c>
      <c r="C13" s="85">
        <v>1.0772200000000001</v>
      </c>
      <c r="D13" s="85">
        <v>0.40694999999999998</v>
      </c>
      <c r="E13" s="85">
        <v>9.0679999999999997E-2</v>
      </c>
      <c r="F13" s="85">
        <v>0.24983</v>
      </c>
      <c r="G13" s="85">
        <v>26.95</v>
      </c>
      <c r="H13" s="85">
        <v>0.26291999999999999</v>
      </c>
      <c r="I13" s="81">
        <v>26.95</v>
      </c>
    </row>
    <row r="14" spans="2:10" x14ac:dyDescent="0.25">
      <c r="B14" s="46">
        <f>'Dados de entrada'!B14</f>
        <v>44287</v>
      </c>
      <c r="C14" s="85">
        <v>1.0772200000000001</v>
      </c>
      <c r="D14" s="85">
        <v>0.40694999999999998</v>
      </c>
      <c r="E14" s="85">
        <v>9.0679999999999997E-2</v>
      </c>
      <c r="F14" s="85">
        <v>0.24983</v>
      </c>
      <c r="G14" s="85">
        <v>26.95</v>
      </c>
      <c r="H14" s="85">
        <v>0.26291999999999999</v>
      </c>
      <c r="I14" s="81">
        <v>26.95</v>
      </c>
    </row>
    <row r="15" spans="2:10" ht="15.75" thickBot="1" x14ac:dyDescent="0.3">
      <c r="B15" s="47">
        <f>'Dados de entrada'!B15</f>
        <v>44256</v>
      </c>
      <c r="C15" s="86">
        <v>1.0772200000000001</v>
      </c>
      <c r="D15" s="86">
        <v>0.40694999999999998</v>
      </c>
      <c r="E15" s="86">
        <v>9.0679999999999997E-2</v>
      </c>
      <c r="F15" s="86">
        <v>0.24983</v>
      </c>
      <c r="G15" s="86">
        <v>26.95</v>
      </c>
      <c r="H15" s="86">
        <v>0.26291999999999999</v>
      </c>
      <c r="I15" s="82">
        <v>26.95</v>
      </c>
      <c r="J15" s="7"/>
    </row>
    <row r="16" spans="2:10" ht="15.75" thickBot="1" x14ac:dyDescent="0.3">
      <c r="B16" s="36" t="s">
        <v>16</v>
      </c>
      <c r="C16" s="79">
        <v>1.30315</v>
      </c>
      <c r="D16" s="79">
        <v>0.43480000000000002</v>
      </c>
      <c r="E16" s="79">
        <v>8.3739999999999995E-2</v>
      </c>
      <c r="F16" s="79">
        <v>0.26512000000000002</v>
      </c>
      <c r="G16" s="79">
        <v>33.47</v>
      </c>
      <c r="H16" s="79">
        <v>0.27926000000000001</v>
      </c>
      <c r="I16" s="87">
        <v>33.47</v>
      </c>
    </row>
    <row r="17" spans="2:10" ht="15.75" thickBot="1" x14ac:dyDescent="0.3"/>
    <row r="18" spans="2:10" ht="19.5" thickBot="1" x14ac:dyDescent="0.35">
      <c r="B18" s="192" t="s">
        <v>38</v>
      </c>
      <c r="C18" s="193"/>
      <c r="D18" s="193"/>
      <c r="E18" s="193"/>
      <c r="F18" s="193"/>
      <c r="G18" s="193"/>
      <c r="H18" s="193"/>
      <c r="I18" s="193"/>
      <c r="J18" s="194"/>
    </row>
    <row r="19" spans="2:10" ht="67.5" customHeight="1" x14ac:dyDescent="0.25">
      <c r="B19" s="24" t="s">
        <v>3</v>
      </c>
      <c r="C19" s="32" t="s">
        <v>31</v>
      </c>
      <c r="D19" s="32" t="s">
        <v>32</v>
      </c>
      <c r="E19" s="32" t="s">
        <v>33</v>
      </c>
      <c r="F19" s="32" t="s">
        <v>34</v>
      </c>
      <c r="G19" s="25" t="s">
        <v>17</v>
      </c>
      <c r="H19" s="25" t="s">
        <v>18</v>
      </c>
      <c r="I19" s="25" t="s">
        <v>76</v>
      </c>
      <c r="J19" s="33" t="s">
        <v>77</v>
      </c>
    </row>
    <row r="20" spans="2:10" x14ac:dyDescent="0.25">
      <c r="B20" s="55">
        <f t="shared" ref="B20:B31" si="0">B4</f>
        <v>44593</v>
      </c>
      <c r="C20" s="48">
        <v>8.3739999999999995E-2</v>
      </c>
      <c r="D20" s="48">
        <v>0.43480000000000002</v>
      </c>
      <c r="E20" s="48">
        <v>8.3739999999999995E-2</v>
      </c>
      <c r="F20" s="48">
        <v>0.26512000000000002</v>
      </c>
      <c r="G20" s="48">
        <v>50.21</v>
      </c>
      <c r="H20" s="48">
        <v>33.47</v>
      </c>
      <c r="I20" s="71">
        <f t="shared" ref="I20:I31" si="1">H4</f>
        <v>0.27926000000000001</v>
      </c>
      <c r="J20" s="80">
        <v>33.47</v>
      </c>
    </row>
    <row r="21" spans="2:10" x14ac:dyDescent="0.25">
      <c r="B21" s="55">
        <f t="shared" si="0"/>
        <v>44562</v>
      </c>
      <c r="C21" s="48">
        <v>8.3739999999999995E-2</v>
      </c>
      <c r="D21" s="48">
        <v>0.43480000000000002</v>
      </c>
      <c r="E21" s="48">
        <v>8.3739999999999995E-2</v>
      </c>
      <c r="F21" s="48">
        <v>0.26512000000000002</v>
      </c>
      <c r="G21" s="48">
        <v>50.21</v>
      </c>
      <c r="H21" s="48">
        <v>33.47</v>
      </c>
      <c r="I21" s="49">
        <f t="shared" si="1"/>
        <v>0.27926000000000001</v>
      </c>
      <c r="J21" s="81">
        <v>33.47</v>
      </c>
    </row>
    <row r="22" spans="2:10" x14ac:dyDescent="0.25">
      <c r="B22" s="55">
        <f t="shared" si="0"/>
        <v>44531</v>
      </c>
      <c r="C22" s="50">
        <v>8.3739999999999995E-2</v>
      </c>
      <c r="D22" s="51">
        <v>0.43480000000000002</v>
      </c>
      <c r="E22" s="51">
        <v>8.3739999999999995E-2</v>
      </c>
      <c r="F22" s="51">
        <v>0.26512000000000002</v>
      </c>
      <c r="G22" s="51">
        <v>50.21</v>
      </c>
      <c r="H22" s="51">
        <v>33.47</v>
      </c>
      <c r="I22" s="49">
        <f t="shared" si="1"/>
        <v>0.27926000000000001</v>
      </c>
      <c r="J22" s="81">
        <v>33.47</v>
      </c>
    </row>
    <row r="23" spans="2:10" x14ac:dyDescent="0.25">
      <c r="B23" s="55">
        <f t="shared" si="0"/>
        <v>44501</v>
      </c>
      <c r="C23" s="52">
        <v>8.3739999999999995E-2</v>
      </c>
      <c r="D23" s="49">
        <v>0.43480000000000002</v>
      </c>
      <c r="E23" s="49">
        <v>8.3739999999999995E-2</v>
      </c>
      <c r="F23" s="49">
        <v>0.26512000000000002</v>
      </c>
      <c r="G23" s="49">
        <v>50.21</v>
      </c>
      <c r="H23" s="49">
        <v>33.47</v>
      </c>
      <c r="I23" s="49">
        <f t="shared" si="1"/>
        <v>0.27926000000000001</v>
      </c>
      <c r="J23" s="81">
        <v>33.47</v>
      </c>
    </row>
    <row r="24" spans="2:10" x14ac:dyDescent="0.25">
      <c r="B24" s="55">
        <f t="shared" si="0"/>
        <v>44470</v>
      </c>
      <c r="C24" s="52">
        <v>8.3739999999999995E-2</v>
      </c>
      <c r="D24" s="49">
        <v>0.43480000000000002</v>
      </c>
      <c r="E24" s="49">
        <v>8.3739999999999995E-2</v>
      </c>
      <c r="F24" s="49">
        <v>0.26512000000000002</v>
      </c>
      <c r="G24" s="49">
        <v>50.21</v>
      </c>
      <c r="H24" s="49">
        <v>33.47</v>
      </c>
      <c r="I24" s="49">
        <f t="shared" si="1"/>
        <v>0.27926000000000001</v>
      </c>
      <c r="J24" s="81">
        <v>33.47</v>
      </c>
    </row>
    <row r="25" spans="2:10" x14ac:dyDescent="0.25">
      <c r="B25" s="55">
        <f t="shared" si="0"/>
        <v>44440</v>
      </c>
      <c r="C25" s="52">
        <v>8.3739999999999995E-2</v>
      </c>
      <c r="D25" s="49">
        <v>0.43480000000000002</v>
      </c>
      <c r="E25" s="49">
        <v>8.3739999999999995E-2</v>
      </c>
      <c r="F25" s="49">
        <v>0.26512000000000002</v>
      </c>
      <c r="G25" s="49">
        <v>50.21</v>
      </c>
      <c r="H25" s="49">
        <v>33.47</v>
      </c>
      <c r="I25" s="49">
        <f t="shared" si="1"/>
        <v>0.27926000000000001</v>
      </c>
      <c r="J25" s="81">
        <v>33.47</v>
      </c>
    </row>
    <row r="26" spans="2:10" x14ac:dyDescent="0.25">
      <c r="B26" s="55">
        <f t="shared" si="0"/>
        <v>44409</v>
      </c>
      <c r="C26" s="52">
        <v>8.5083229999999996E-2</v>
      </c>
      <c r="D26" s="49">
        <v>0.42940968000000002</v>
      </c>
      <c r="E26" s="49">
        <v>8.5083229999999996E-2</v>
      </c>
      <c r="F26" s="49">
        <v>0.26216065</v>
      </c>
      <c r="G26" s="49">
        <v>48.351935490000002</v>
      </c>
      <c r="H26" s="49">
        <v>32.208064520000001</v>
      </c>
      <c r="I26" s="49">
        <f t="shared" si="1"/>
        <v>0.27609741999999998</v>
      </c>
      <c r="J26" s="81">
        <v>32.208064520000001</v>
      </c>
    </row>
    <row r="27" spans="2:10" x14ac:dyDescent="0.25">
      <c r="B27" s="55">
        <f t="shared" si="0"/>
        <v>44378</v>
      </c>
      <c r="C27" s="52">
        <v>9.0679999999999997E-2</v>
      </c>
      <c r="D27" s="49">
        <v>0.40694999999999998</v>
      </c>
      <c r="E27" s="49">
        <v>9.0679999999999997E-2</v>
      </c>
      <c r="F27" s="49">
        <v>0.24983</v>
      </c>
      <c r="G27" s="49">
        <v>40.61</v>
      </c>
      <c r="H27" s="49">
        <v>26.95</v>
      </c>
      <c r="I27" s="49">
        <f t="shared" si="1"/>
        <v>0.26291999999999999</v>
      </c>
      <c r="J27" s="81">
        <v>26.95</v>
      </c>
    </row>
    <row r="28" spans="2:10" x14ac:dyDescent="0.25">
      <c r="B28" s="55">
        <f t="shared" si="0"/>
        <v>44348</v>
      </c>
      <c r="C28" s="52">
        <v>9.0679999999999997E-2</v>
      </c>
      <c r="D28" s="49">
        <v>0.40694999999999998</v>
      </c>
      <c r="E28" s="49">
        <v>9.0679999999999997E-2</v>
      </c>
      <c r="F28" s="49">
        <v>0.24983</v>
      </c>
      <c r="G28" s="49">
        <v>40.61</v>
      </c>
      <c r="H28" s="49">
        <v>26.95</v>
      </c>
      <c r="I28" s="49">
        <f t="shared" si="1"/>
        <v>0.26291999999999999</v>
      </c>
      <c r="J28" s="81">
        <v>26.95</v>
      </c>
    </row>
    <row r="29" spans="2:10" x14ac:dyDescent="0.25">
      <c r="B29" s="55">
        <f t="shared" si="0"/>
        <v>44317</v>
      </c>
      <c r="C29" s="52">
        <v>9.0679999999999997E-2</v>
      </c>
      <c r="D29" s="49">
        <v>0.40694999999999998</v>
      </c>
      <c r="E29" s="49">
        <v>9.0679999999999997E-2</v>
      </c>
      <c r="F29" s="49">
        <v>0.24983</v>
      </c>
      <c r="G29" s="49">
        <v>40.61</v>
      </c>
      <c r="H29" s="49">
        <v>26.95</v>
      </c>
      <c r="I29" s="49">
        <f t="shared" si="1"/>
        <v>0.26291999999999999</v>
      </c>
      <c r="J29" s="81">
        <v>26.95</v>
      </c>
    </row>
    <row r="30" spans="2:10" x14ac:dyDescent="0.25">
      <c r="B30" s="55">
        <f t="shared" si="0"/>
        <v>44287</v>
      </c>
      <c r="C30" s="52">
        <v>9.0679999999999997E-2</v>
      </c>
      <c r="D30" s="49">
        <v>0.40694999999999998</v>
      </c>
      <c r="E30" s="49">
        <v>9.0679999999999997E-2</v>
      </c>
      <c r="F30" s="49">
        <v>0.24983</v>
      </c>
      <c r="G30" s="49">
        <v>40.61</v>
      </c>
      <c r="H30" s="49">
        <v>26.95</v>
      </c>
      <c r="I30" s="49">
        <f t="shared" si="1"/>
        <v>0.26291999999999999</v>
      </c>
      <c r="J30" s="81">
        <v>26.95</v>
      </c>
    </row>
    <row r="31" spans="2:10" ht="15.75" thickBot="1" x14ac:dyDescent="0.3">
      <c r="B31" s="56">
        <f t="shared" si="0"/>
        <v>44256</v>
      </c>
      <c r="C31" s="53">
        <v>9.0679999999999997E-2</v>
      </c>
      <c r="D31" s="54">
        <v>0.40694999999999998</v>
      </c>
      <c r="E31" s="54">
        <v>9.0679999999999997E-2</v>
      </c>
      <c r="F31" s="54">
        <v>0.24983</v>
      </c>
      <c r="G31" s="54">
        <v>40.61</v>
      </c>
      <c r="H31" s="54">
        <v>26.95</v>
      </c>
      <c r="I31" s="54">
        <f t="shared" si="1"/>
        <v>0.26291999999999999</v>
      </c>
      <c r="J31" s="82">
        <v>26.95</v>
      </c>
    </row>
    <row r="32" spans="2:10" ht="15.75" thickBot="1" x14ac:dyDescent="0.3">
      <c r="B32" s="36" t="s">
        <v>16</v>
      </c>
      <c r="C32" s="78">
        <v>8.3739999999999995E-2</v>
      </c>
      <c r="D32" s="78">
        <v>0.43480000000000002</v>
      </c>
      <c r="E32" s="78">
        <v>8.3739999999999995E-2</v>
      </c>
      <c r="F32" s="78">
        <v>0.26512000000000002</v>
      </c>
      <c r="G32" s="78">
        <v>50.21</v>
      </c>
      <c r="H32" s="78">
        <v>33.47</v>
      </c>
      <c r="I32" s="78">
        <v>0.27926000000000001</v>
      </c>
      <c r="J32" s="79">
        <v>33.47</v>
      </c>
    </row>
    <row r="33" spans="2:9" ht="15.75" thickBot="1" x14ac:dyDescent="0.3"/>
    <row r="34" spans="2:9" ht="19.5" thickBot="1" x14ac:dyDescent="0.35">
      <c r="B34" s="186" t="s">
        <v>51</v>
      </c>
      <c r="C34" s="187"/>
      <c r="D34" s="188"/>
      <c r="E34" s="16"/>
      <c r="F34" s="16"/>
      <c r="G34" s="16"/>
      <c r="H34" s="16"/>
    </row>
    <row r="35" spans="2:9" ht="67.5" customHeight="1" x14ac:dyDescent="0.25">
      <c r="B35" s="20" t="s">
        <v>3</v>
      </c>
      <c r="C35" s="3" t="s">
        <v>36</v>
      </c>
      <c r="D35" s="21" t="s">
        <v>19</v>
      </c>
      <c r="E35" s="17"/>
      <c r="F35" s="17"/>
      <c r="G35" s="17"/>
      <c r="H35" s="17"/>
    </row>
    <row r="36" spans="2:9" x14ac:dyDescent="0.25">
      <c r="B36" s="22">
        <f>B20</f>
        <v>44593</v>
      </c>
      <c r="C36" s="2">
        <v>0.52581</v>
      </c>
      <c r="D36" s="38">
        <v>0.27926000000000001</v>
      </c>
      <c r="E36" s="18"/>
      <c r="F36" s="19"/>
      <c r="G36" s="19"/>
      <c r="H36" s="19"/>
    </row>
    <row r="37" spans="2:9" x14ac:dyDescent="0.25">
      <c r="B37" s="22">
        <f t="shared" ref="B37:B47" si="2">B21</f>
        <v>44562</v>
      </c>
      <c r="C37" s="2">
        <f>((14/31)*C36)+((17/31)*C38)</f>
        <v>0.5429141935483871</v>
      </c>
      <c r="D37" s="38">
        <v>0.27926000000000001</v>
      </c>
      <c r="E37" s="18"/>
      <c r="F37" s="19"/>
      <c r="G37" s="19"/>
      <c r="H37" s="19"/>
    </row>
    <row r="38" spans="2:9" x14ac:dyDescent="0.25">
      <c r="B38" s="37">
        <f t="shared" si="2"/>
        <v>44531</v>
      </c>
      <c r="C38" s="2">
        <v>0.55700000000000005</v>
      </c>
      <c r="D38" s="38">
        <v>0.27609741999999998</v>
      </c>
      <c r="E38" s="18"/>
      <c r="F38" s="19"/>
      <c r="G38" s="19"/>
      <c r="H38" s="19"/>
      <c r="I38" s="6"/>
    </row>
    <row r="39" spans="2:9" x14ac:dyDescent="0.25">
      <c r="B39" s="22">
        <f t="shared" si="2"/>
        <v>44501</v>
      </c>
      <c r="C39" s="2">
        <v>0.55700000000000005</v>
      </c>
      <c r="D39" s="38">
        <v>0.26291999999999999</v>
      </c>
      <c r="E39" s="18"/>
      <c r="F39" s="19"/>
      <c r="G39" s="19"/>
      <c r="H39" s="19"/>
    </row>
    <row r="40" spans="2:9" x14ac:dyDescent="0.25">
      <c r="B40" s="22">
        <f t="shared" si="2"/>
        <v>44470</v>
      </c>
      <c r="C40" s="2">
        <v>0.55700000000000005</v>
      </c>
      <c r="D40" s="38">
        <v>0.26291999999999999</v>
      </c>
      <c r="E40" s="18"/>
      <c r="F40" s="19"/>
      <c r="G40" s="19"/>
      <c r="H40" s="19"/>
    </row>
    <row r="41" spans="2:9" x14ac:dyDescent="0.25">
      <c r="B41" s="22">
        <f t="shared" si="2"/>
        <v>44440</v>
      </c>
      <c r="C41" s="2">
        <v>0.55700000000000005</v>
      </c>
      <c r="D41" s="38">
        <v>0.26291999999999999</v>
      </c>
      <c r="E41" s="18"/>
      <c r="F41" s="19"/>
      <c r="G41" s="19"/>
      <c r="H41" s="19"/>
    </row>
    <row r="42" spans="2:9" x14ac:dyDescent="0.25">
      <c r="B42" s="22">
        <f t="shared" si="2"/>
        <v>44409</v>
      </c>
      <c r="C42" s="2">
        <v>0.55700000000000005</v>
      </c>
      <c r="D42" s="38">
        <v>0.26291999999999999</v>
      </c>
      <c r="E42" s="18"/>
      <c r="F42" s="19"/>
      <c r="G42" s="19"/>
      <c r="H42" s="19"/>
    </row>
    <row r="43" spans="2:9" x14ac:dyDescent="0.25">
      <c r="B43" s="22">
        <f t="shared" si="2"/>
        <v>44378</v>
      </c>
      <c r="C43" s="2">
        <v>0.55700000000000005</v>
      </c>
      <c r="D43" s="38">
        <v>0.26291999999999999</v>
      </c>
      <c r="E43" s="18"/>
      <c r="F43" s="19"/>
      <c r="G43" s="19"/>
      <c r="H43" s="19"/>
    </row>
    <row r="44" spans="2:9" x14ac:dyDescent="0.25">
      <c r="B44" s="22">
        <f t="shared" si="2"/>
        <v>44348</v>
      </c>
      <c r="C44" s="2">
        <v>0.55700000000000005</v>
      </c>
      <c r="D44" s="38">
        <v>0.26291999999999999</v>
      </c>
      <c r="E44" s="18"/>
      <c r="F44" s="19"/>
      <c r="G44" s="19"/>
      <c r="H44" s="19"/>
    </row>
    <row r="45" spans="2:9" x14ac:dyDescent="0.25">
      <c r="B45" s="22">
        <f t="shared" si="2"/>
        <v>44317</v>
      </c>
      <c r="C45" s="2">
        <v>0.55700000000000005</v>
      </c>
      <c r="D45" s="38">
        <v>0.26291999999999999</v>
      </c>
      <c r="E45" s="18"/>
      <c r="F45" s="19"/>
      <c r="G45" s="19"/>
      <c r="H45" s="19"/>
    </row>
    <row r="46" spans="2:9" x14ac:dyDescent="0.25">
      <c r="B46" s="22">
        <f t="shared" si="2"/>
        <v>44287</v>
      </c>
      <c r="C46" s="2">
        <v>0.55700000000000005</v>
      </c>
      <c r="D46" s="38">
        <v>0.26291999999999999</v>
      </c>
      <c r="E46" s="18"/>
      <c r="F46" s="19"/>
      <c r="G46" s="19"/>
      <c r="H46" s="19"/>
    </row>
    <row r="47" spans="2:9" ht="15.75" thickBot="1" x14ac:dyDescent="0.3">
      <c r="B47" s="23">
        <f t="shared" si="2"/>
        <v>44256</v>
      </c>
      <c r="C47" s="39">
        <v>0.55700000000000005</v>
      </c>
      <c r="D47" s="40">
        <v>0.26291999999999999</v>
      </c>
      <c r="E47" s="18"/>
      <c r="F47" s="19"/>
      <c r="G47" s="19"/>
      <c r="H47" s="19"/>
    </row>
    <row r="48" spans="2:9" ht="15.75" thickBot="1" x14ac:dyDescent="0.3">
      <c r="B48" s="36" t="s">
        <v>16</v>
      </c>
      <c r="C48" s="41">
        <v>0.61051</v>
      </c>
      <c r="D48" s="42">
        <v>0.27926000000000001</v>
      </c>
    </row>
  </sheetData>
  <mergeCells count="3">
    <mergeCell ref="B34:D34"/>
    <mergeCell ref="B2:I2"/>
    <mergeCell ref="B18:J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90" zoomScaleNormal="90" workbookViewId="0">
      <selection activeCell="L15" sqref="L15"/>
    </sheetView>
  </sheetViews>
  <sheetFormatPr defaultRowHeight="15" x14ac:dyDescent="0.25"/>
  <cols>
    <col min="1" max="1" width="4.5703125" customWidth="1"/>
  </cols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showGridLines="0" topLeftCell="E1" zoomScale="90" zoomScaleNormal="90" workbookViewId="0">
      <selection activeCell="O20" sqref="O20"/>
    </sheetView>
  </sheetViews>
  <sheetFormatPr defaultRowHeight="15" x14ac:dyDescent="0.25"/>
  <cols>
    <col min="2" max="2" width="11.28515625" customWidth="1"/>
    <col min="3" max="4" width="15.7109375" customWidth="1"/>
    <col min="5" max="5" width="14.28515625" customWidth="1"/>
    <col min="6" max="6" width="14.85546875" customWidth="1"/>
    <col min="7" max="8" width="14.28515625" customWidth="1"/>
    <col min="9" max="9" width="15.7109375" customWidth="1"/>
    <col min="10" max="10" width="15.5703125" customWidth="1"/>
    <col min="11" max="11" width="14.42578125" customWidth="1"/>
    <col min="12" max="14" width="14.28515625" customWidth="1"/>
    <col min="15" max="15" width="14.140625" customWidth="1"/>
    <col min="16" max="16" width="15.7109375" bestFit="1" customWidth="1"/>
    <col min="17" max="17" width="9.7109375" customWidth="1"/>
    <col min="18" max="18" width="27.7109375" bestFit="1" customWidth="1"/>
  </cols>
  <sheetData>
    <row r="1" spans="2:20" ht="41.25" customHeight="1" thickBot="1" x14ac:dyDescent="0.3"/>
    <row r="2" spans="2:20" ht="45" customHeight="1" thickBot="1" x14ac:dyDescent="0.3">
      <c r="B2" s="141" t="s">
        <v>3</v>
      </c>
      <c r="C2" s="142" t="s">
        <v>41</v>
      </c>
      <c r="D2" s="143" t="s">
        <v>42</v>
      </c>
      <c r="E2" s="143" t="s">
        <v>24</v>
      </c>
      <c r="F2" s="143" t="s">
        <v>55</v>
      </c>
      <c r="G2" s="143" t="s">
        <v>43</v>
      </c>
      <c r="H2" s="143" t="s">
        <v>44</v>
      </c>
      <c r="I2" s="143" t="s">
        <v>45</v>
      </c>
      <c r="J2" s="143" t="s">
        <v>20</v>
      </c>
      <c r="K2" s="143" t="s">
        <v>46</v>
      </c>
      <c r="L2" s="143" t="s">
        <v>47</v>
      </c>
      <c r="M2" s="143" t="s">
        <v>48</v>
      </c>
      <c r="N2" s="143" t="s">
        <v>21</v>
      </c>
      <c r="O2" s="143" t="s">
        <v>22</v>
      </c>
      <c r="P2" s="144" t="s">
        <v>23</v>
      </c>
    </row>
    <row r="3" spans="2:20" ht="16.5" thickBot="1" x14ac:dyDescent="0.3">
      <c r="B3" s="89">
        <f>Aliquotas!B4</f>
        <v>44593</v>
      </c>
      <c r="C3" s="90">
        <f>'Dados de entrada'!C4*((Aliquotas!C4)+(Aliquotas!D4))</f>
        <v>3167.8257691500003</v>
      </c>
      <c r="D3" s="91">
        <f>'Dados de entrada'!D4*(Aliquotas!F4+Aliquotas!E4)</f>
        <v>12664.492592019998</v>
      </c>
      <c r="E3" s="91">
        <f>IF((MAX('Dados de entrada'!E4:F4))&gt;=($S$3),(MAX('Dados de entrada'!E4:F4))*Aliquotas!G4,$S$3*Aliquotas!G4)</f>
        <v>6142.2805199999993</v>
      </c>
      <c r="F3" s="91">
        <f>IF(((MAX('Dados de entrada'!E4:F4))-$S$3)&gt;($S$3*0.05),(MAX('Dados de entrada'!E4:F4))-$S$3,0)*2*Aliquotas!G4</f>
        <v>8937.5610399999987</v>
      </c>
      <c r="G3" s="91">
        <f>'Dados de entrada'!G4*Aliquotas!H4</f>
        <v>239.25209536</v>
      </c>
      <c r="H3" s="91">
        <f>IF(MAX('Dados de entrada'!H4,'Dados de entrada'!I4)&gt;MAX('Dados de entrada'!E4,'Dados de entrada'!F4,'Tarifa Verde Atual'!$S$3),(MAX('Dados de entrada'!H4,'Dados de entrada'!I4)-MAX('Dados de entrada'!E4,'Dados de entrada'!F4,'Tarifa Verde Atual'!$S$3))*Aliquotas!I4,0)</f>
        <v>0</v>
      </c>
      <c r="I3" s="91">
        <f>'Dados de entrada'!J4</f>
        <v>5413.79</v>
      </c>
      <c r="J3" s="91">
        <f>SUM(C3:I3)</f>
        <v>36565.202016529991</v>
      </c>
      <c r="K3" s="91">
        <f>'Dados de entrada'!M4</f>
        <v>0</v>
      </c>
      <c r="L3" s="72">
        <f>'Dados de entrada'!K4</f>
        <v>0</v>
      </c>
      <c r="M3" s="72">
        <f>'Dados de entrada'!L4</f>
        <v>-7685.13</v>
      </c>
      <c r="N3" s="91">
        <f>J3/(1-('Dados de entrada'!N4+'Dados de entrada'!O4)/100)*('Dados de entrada'!N4/100)</f>
        <v>391.63153803494481</v>
      </c>
      <c r="O3" s="72">
        <f>J3/(1-('Dados de entrada'!N4+'Dados de entrada'!O4)/100)*('Dados de entrada'!O4/100)</f>
        <v>1818.56625087514</v>
      </c>
      <c r="P3" s="100">
        <f t="shared" ref="P3:P14" si="0">SUM(J3:O3)</f>
        <v>31090.269805440075</v>
      </c>
      <c r="Q3" s="26"/>
      <c r="R3" s="131" t="s">
        <v>40</v>
      </c>
      <c r="S3" s="74">
        <v>50</v>
      </c>
      <c r="T3" s="7"/>
    </row>
    <row r="4" spans="2:20" x14ac:dyDescent="0.25">
      <c r="B4" s="92">
        <f>Aliquotas!B5</f>
        <v>44562</v>
      </c>
      <c r="C4" s="93">
        <f>'Dados de entrada'!C5*((Aliquotas!C5)+(Aliquotas!D5))</f>
        <v>3470.5210447500003</v>
      </c>
      <c r="D4" s="94">
        <f>'Dados de entrada'!D5*(Aliquotas!F5+Aliquotas!E5)</f>
        <v>10585.61387384</v>
      </c>
      <c r="E4" s="94">
        <f>IF((MAX('Dados de entrada'!E5:F5))&gt;=($S$3),(MAX('Dados de entrada'!E5:F5))*Aliquotas!G5,$S$3*Aliquotas!G5)</f>
        <v>5620.8179200000004</v>
      </c>
      <c r="F4" s="94">
        <f>IF(((MAX('Dados de entrada'!E5:F5))-$S$3)&gt;($S$3*0.05),(MAX('Dados de entrada'!E5:F5))-$S$3,0)*2*Aliquotas!G5</f>
        <v>7894.6358399999999</v>
      </c>
      <c r="G4" s="94">
        <f>'Dados de entrada'!G5*Aliquotas!H5</f>
        <v>194.51827374000001</v>
      </c>
      <c r="H4" s="94">
        <f>IF(MAX('Dados de entrada'!H5,'Dados de entrada'!I5)&gt;MAX('Dados de entrada'!E5,'Dados de entrada'!F5,'Tarifa Verde Atual'!$S$3),(MAX('Dados de entrada'!H5,'Dados de entrada'!I5)-MAX('Dados de entrada'!E5,'Dados de entrada'!F5,'Tarifa Verde Atual'!$S$3))*Aliquotas!I5,0)</f>
        <v>182.51191000000009</v>
      </c>
      <c r="I4" s="94">
        <f>'Dados de entrada'!J5</f>
        <v>4592.33</v>
      </c>
      <c r="J4" s="94">
        <f t="shared" ref="J4:J14" si="1">SUM(C4:I4)</f>
        <v>32540.948862329999</v>
      </c>
      <c r="K4" s="94">
        <f>'Dados de entrada'!M5</f>
        <v>0</v>
      </c>
      <c r="L4" s="95">
        <f>'Dados de entrada'!K5</f>
        <v>0</v>
      </c>
      <c r="M4" s="95">
        <f>'Dados de entrada'!L5</f>
        <v>-551.03</v>
      </c>
      <c r="N4" s="94">
        <f>J4/(1-('Dados de entrada'!N5+'Dados de entrada'!O5)/100)*('Dados de entrada'!N5/100)</f>
        <v>188.19509824336259</v>
      </c>
      <c r="O4" s="95">
        <f>J4/(1-('Dados de entrada'!N5+'Dados de entrada'!O5)/100)*('Dados de entrada'!O5/100)</f>
        <v>877.12358288424332</v>
      </c>
      <c r="P4" s="100">
        <f t="shared" si="0"/>
        <v>33055.237543457602</v>
      </c>
      <c r="Q4" s="26"/>
      <c r="T4" s="7"/>
    </row>
    <row r="5" spans="2:20" x14ac:dyDescent="0.25">
      <c r="B5" s="92">
        <f>Aliquotas!B6</f>
        <v>44531</v>
      </c>
      <c r="C5" s="93">
        <f>'Dados de entrada'!C6*((Aliquotas!C6)+(Aliquotas!D6))</f>
        <v>3287.3219973</v>
      </c>
      <c r="D5" s="94">
        <f>'Dados de entrada'!D6*(Aliquotas!F6+Aliquotas!E6)</f>
        <v>9286.4630713000006</v>
      </c>
      <c r="E5" s="94">
        <f>IF((MAX('Dados de entrada'!E6:F6))&gt;=($S$3),(MAX('Dados de entrada'!E6:F6))*Aliquotas!G6,$S$3*Aliquotas!G6)</f>
        <v>5291.4731199999997</v>
      </c>
      <c r="F5" s="94">
        <f>IF(((MAX('Dados de entrada'!E6:F6))-$S$3)&gt;($S$3*0.05),(MAX('Dados de entrada'!E6:F6))-$S$3,0)*2*Aliquotas!G6</f>
        <v>7235.9462400000002</v>
      </c>
      <c r="G5" s="94">
        <f>'Dados de entrada'!G6*Aliquotas!H6</f>
        <v>95.055077320000009</v>
      </c>
      <c r="H5" s="94">
        <f>IF(MAX('Dados de entrada'!H6,'Dados de entrada'!I6)&gt;MAX('Dados de entrada'!E6,'Dados de entrada'!F6,'Tarifa Verde Atual'!$S$3),(MAX('Dados de entrada'!H6,'Dados de entrada'!I6)-MAX('Dados de entrada'!E6,'Dados de entrada'!F6,'Tarifa Verde Atual'!$S$3))*Aliquotas!I6,0)</f>
        <v>0</v>
      </c>
      <c r="I5" s="94">
        <f>'Dados de entrada'!J6</f>
        <v>4048.55</v>
      </c>
      <c r="J5" s="94">
        <f t="shared" si="1"/>
        <v>29244.809505920002</v>
      </c>
      <c r="K5" s="94">
        <f>'Dados de entrada'!M6</f>
        <v>0</v>
      </c>
      <c r="L5" s="95">
        <f>'Dados de entrada'!K6</f>
        <v>1027.04</v>
      </c>
      <c r="M5" s="95">
        <f>'Dados de entrada'!L6</f>
        <v>-1311.61</v>
      </c>
      <c r="N5" s="94">
        <f>J5/(1-('Dados de entrada'!N6+'Dados de entrada'!O6)/100)*('Dados de entrada'!N6/100)</f>
        <v>423.65453770738168</v>
      </c>
      <c r="O5" s="95">
        <f>J5/(1-('Dados de entrada'!N6+'Dados de entrada'!O6)/100)*('Dados de entrada'!O6/100)</f>
        <v>1947.5462330428888</v>
      </c>
      <c r="P5" s="100">
        <f t="shared" si="0"/>
        <v>31331.440276670273</v>
      </c>
      <c r="Q5" s="26"/>
      <c r="T5" s="7"/>
    </row>
    <row r="6" spans="2:20" x14ac:dyDescent="0.25">
      <c r="B6" s="92">
        <f>Aliquotas!B7</f>
        <v>44501</v>
      </c>
      <c r="C6" s="93">
        <f>'Dados de entrada'!C7*((Aliquotas!C7)+(Aliquotas!D7))</f>
        <v>2690.5534160500001</v>
      </c>
      <c r="D6" s="94">
        <f>'Dados de entrada'!D7*(Aliquotas!F7+Aliquotas!E7)</f>
        <v>12202.740449440002</v>
      </c>
      <c r="E6" s="94">
        <f>IF((MAX('Dados de entrada'!E7:F7))&gt;=($S$3),(MAX('Dados de entrada'!E7:F7))*Aliquotas!G7,$S$3*Aliquotas!G7)</f>
        <v>5758.0449200000003</v>
      </c>
      <c r="F6" s="94">
        <f>IF(((MAX('Dados de entrada'!E7:F7))-$S$3)&gt;($S$3*0.05),(MAX('Dados de entrada'!E7:F7))-$S$3,0)*2*Aliquotas!G7</f>
        <v>8169.0898399999996</v>
      </c>
      <c r="G6" s="94">
        <f>'Dados de entrada'!G7*Aliquotas!H7</f>
        <v>441.01800388000004</v>
      </c>
      <c r="H6" s="94">
        <f>IF(MAX('Dados de entrada'!H7,'Dados de entrada'!I7)&gt;MAX('Dados de entrada'!E7,'Dados de entrada'!F7,'Tarifa Verde Atual'!$S$3),(MAX('Dados de entrada'!H7,'Dados de entrada'!I7)-MAX('Dados de entrada'!E7,'Dados de entrada'!F7,'Tarifa Verde Atual'!$S$3))*Aliquotas!I7,0)</f>
        <v>225.05227999999966</v>
      </c>
      <c r="I6" s="94">
        <f>'Dados de entrada'!J7</f>
        <v>5186.83</v>
      </c>
      <c r="J6" s="94">
        <f t="shared" si="1"/>
        <v>34673.32890937</v>
      </c>
      <c r="K6" s="94">
        <f>'Dados de entrada'!M7</f>
        <v>0</v>
      </c>
      <c r="L6" s="95">
        <f>'Dados de entrada'!K7</f>
        <v>844.87</v>
      </c>
      <c r="M6" s="95">
        <f>'Dados de entrada'!L7</f>
        <v>0</v>
      </c>
      <c r="N6" s="94">
        <f>J6/(1-('Dados de entrada'!N7+'Dados de entrada'!O7)/100)*('Dados de entrada'!N7/100)</f>
        <v>502.29471068708972</v>
      </c>
      <c r="O6" s="95">
        <f>J6/(1-('Dados de entrada'!N7+'Dados de entrada'!O7)/100)*('Dados de entrada'!O7/100)</f>
        <v>2309.056281964532</v>
      </c>
      <c r="P6" s="100">
        <f t="shared" si="0"/>
        <v>38329.54990202163</v>
      </c>
      <c r="Q6" s="26"/>
      <c r="T6" s="7"/>
    </row>
    <row r="7" spans="2:20" x14ac:dyDescent="0.25">
      <c r="B7" s="92">
        <f>Aliquotas!B8</f>
        <v>44470</v>
      </c>
      <c r="C7" s="93">
        <f>'Dados de entrada'!C8*((Aliquotas!C8)+(Aliquotas!D8))</f>
        <v>2583.7407470000003</v>
      </c>
      <c r="D7" s="94">
        <f>'Dados de entrada'!D8*(Aliquotas!F8+Aliquotas!E8)</f>
        <v>13457.99454704</v>
      </c>
      <c r="E7" s="94">
        <f>IF((MAX('Dados de entrada'!E8:F8))&gt;=($S$3),(MAX('Dados de entrada'!E8:F8))*Aliquotas!G8,$S$3*Aliquotas!G8)</f>
        <v>6147.7695999999996</v>
      </c>
      <c r="F7" s="94">
        <f>IF(((MAX('Dados de entrada'!E8:F8))-$S$3)&gt;($S$3*0.05),(MAX('Dados de entrada'!E8:F8))-$S$3,0)*2*Aliquotas!G8</f>
        <v>8948.5391999999993</v>
      </c>
      <c r="G7" s="94">
        <f>'Dados de entrada'!G8*Aliquotas!H8</f>
        <v>724.46578683999996</v>
      </c>
      <c r="H7" s="94">
        <f>IF(MAX('Dados de entrada'!H8,'Dados de entrada'!I8)&gt;MAX('Dados de entrada'!E8,'Dados de entrada'!F8,'Tarifa Verde Atual'!$S$3),(MAX('Dados de entrada'!H8,'Dados de entrada'!I8)-MAX('Dados de entrada'!E8,'Dados de entrada'!F8,'Tarifa Verde Atual'!$S$3))*Aliquotas!I8,0)</f>
        <v>292.29351000000014</v>
      </c>
      <c r="I7" s="94">
        <f>'Dados de entrada'!J8</f>
        <v>5689.05</v>
      </c>
      <c r="J7" s="94">
        <f t="shared" si="1"/>
        <v>37843.853390880002</v>
      </c>
      <c r="K7" s="94">
        <f>'Dados de entrada'!M8</f>
        <v>0</v>
      </c>
      <c r="L7" s="95">
        <f>'Dados de entrada'!K8</f>
        <v>0</v>
      </c>
      <c r="M7" s="95">
        <f>'Dados de entrada'!L8</f>
        <v>0</v>
      </c>
      <c r="N7" s="94">
        <f>J7/(1-('Dados de entrada'!N8+'Dados de entrada'!O8)/100)*('Dados de entrada'!N8/100)</f>
        <v>548.22447074355898</v>
      </c>
      <c r="O7" s="95">
        <f>J7/(1-('Dados de entrada'!N8+'Dados de entrada'!O8)/100)*('Dados de entrada'!O8/100)</f>
        <v>2520.1960744629278</v>
      </c>
      <c r="P7" s="100">
        <f t="shared" si="0"/>
        <v>40912.273936086487</v>
      </c>
      <c r="Q7" s="26"/>
      <c r="T7" s="7"/>
    </row>
    <row r="8" spans="2:20" x14ac:dyDescent="0.25">
      <c r="B8" s="92">
        <f>Aliquotas!B9</f>
        <v>44440</v>
      </c>
      <c r="C8" s="93">
        <f>'Dados de entrada'!C9*((Aliquotas!C9)+(Aliquotas!D9))</f>
        <v>2837.2694171000003</v>
      </c>
      <c r="D8" s="94">
        <f>'Dados de entrada'!D9*(Aliquotas!F9+Aliquotas!E9)</f>
        <v>14480.7634566</v>
      </c>
      <c r="E8" s="94">
        <f>IF((MAX('Dados de entrada'!E9:F9))&gt;=($S$3),(MAX('Dados de entrada'!E9:F9))*Aliquotas!G9,$S$3*Aliquotas!G9)</f>
        <v>6208.14948</v>
      </c>
      <c r="F8" s="94">
        <f>IF(((MAX('Dados de entrada'!E9:F9))-$S$3)&gt;($S$3*0.05),(MAX('Dados de entrada'!E9:F9))-$S$3,0)*2*Aliquotas!G9</f>
        <v>9069.2989600000001</v>
      </c>
      <c r="G8" s="94">
        <f>'Dados de entrada'!G9*Aliquotas!H9</f>
        <v>761.66573218000008</v>
      </c>
      <c r="H8" s="94">
        <f>IF(MAX('Dados de entrada'!H9,'Dados de entrada'!I9)&gt;MAX('Dados de entrada'!E9,'Dados de entrada'!F9,'Tarifa Verde Atual'!$S$3),(MAX('Dados de entrada'!H9,'Dados de entrada'!I9)-MAX('Dados de entrada'!E9,'Dados de entrada'!F9,'Tarifa Verde Atual'!$S$3))*Aliquotas!I9,0)</f>
        <v>462.45499000000024</v>
      </c>
      <c r="I8" s="94">
        <f>'Dados de entrada'!J9</f>
        <v>6126.07</v>
      </c>
      <c r="J8" s="94">
        <f t="shared" si="1"/>
        <v>39945.672035880001</v>
      </c>
      <c r="K8" s="94">
        <f>'Dados de entrada'!M9</f>
        <v>0</v>
      </c>
      <c r="L8" s="95">
        <f>'Dados de entrada'!K9</f>
        <v>0</v>
      </c>
      <c r="M8" s="95">
        <f>'Dados de entrada'!L9</f>
        <v>0</v>
      </c>
      <c r="N8" s="94">
        <f>J8/(1-('Dados de entrada'!N9+'Dados de entrada'!O9)/100)*('Dados de entrada'!N9/100)</f>
        <v>409.76419072338837</v>
      </c>
      <c r="O8" s="95">
        <f>J8/(1-('Dados de entrada'!N9+'Dados de entrada'!O9)/100)*('Dados de entrada'!O9/100)</f>
        <v>1888.2947758077792</v>
      </c>
      <c r="P8" s="100">
        <f t="shared" si="0"/>
        <v>42243.731002411172</v>
      </c>
      <c r="Q8" s="26"/>
      <c r="T8" s="7"/>
    </row>
    <row r="9" spans="2:20" x14ac:dyDescent="0.25">
      <c r="B9" s="92">
        <f>Aliquotas!B10</f>
        <v>44409</v>
      </c>
      <c r="C9" s="93">
        <f>'Dados de entrada'!C10*((Aliquotas!C10)+(Aliquotas!D10))</f>
        <v>2745.3101024227199</v>
      </c>
      <c r="D9" s="94">
        <f>'Dados de entrada'!D10*(Aliquotas!F10+Aliquotas!E10)</f>
        <v>13992.834545778</v>
      </c>
      <c r="E9" s="94">
        <f>IF((MAX('Dados de entrada'!E10:F10))&gt;=($S$3),(MAX('Dados de entrada'!E10:F10))*Aliquotas!G10,$S$3*Aliquotas!G10)</f>
        <v>5525.1002200188805</v>
      </c>
      <c r="F9" s="94">
        <f>IF(((MAX('Dados de entrada'!E10:F10))-$S$3)&gt;($S$3*0.05),(MAX('Dados de entrada'!E10:F10))-$S$3,0)*2*Aliquotas!G10</f>
        <v>7829.3939880377611</v>
      </c>
      <c r="G9" s="94">
        <f>'Dados de entrada'!G10*Aliquotas!H10</f>
        <v>863.36463916517994</v>
      </c>
      <c r="H9" s="94">
        <f>IF(MAX('Dados de entrada'!H10,'Dados de entrada'!I10)&gt;MAX('Dados de entrada'!E10,'Dados de entrada'!F10,'Tarifa Verde Atual'!$S$3),(MAX('Dados de entrada'!H10,'Dados de entrada'!I10)-MAX('Dados de entrada'!E10,'Dados de entrada'!F10,'Tarifa Verde Atual'!$S$3))*Aliquotas!I10,0)</f>
        <v>373.71017262556029</v>
      </c>
      <c r="I9" s="94">
        <f>'Dados de entrada'!J10</f>
        <v>3979.28</v>
      </c>
      <c r="J9" s="94">
        <f t="shared" si="1"/>
        <v>35308.993668048104</v>
      </c>
      <c r="K9" s="94">
        <f>'Dados de entrada'!M10</f>
        <v>0</v>
      </c>
      <c r="L9" s="95">
        <f>'Dados de entrada'!K10</f>
        <v>0</v>
      </c>
      <c r="M9" s="95">
        <f>'Dados de entrada'!L10</f>
        <v>0</v>
      </c>
      <c r="N9" s="94">
        <f>J9/(1-('Dados de entrada'!N10+'Dados de entrada'!O10)/100)*('Dados de entrada'!N10/100)</f>
        <v>417.92474910997436</v>
      </c>
      <c r="O9" s="95">
        <f>J9/(1-('Dados de entrada'!N10+'Dados de entrada'!O10)/100)*('Dados de entrada'!O10/100)</f>
        <v>1923.95988103781</v>
      </c>
      <c r="P9" s="100">
        <f t="shared" si="0"/>
        <v>37650.878298195887</v>
      </c>
      <c r="Q9" s="26"/>
      <c r="T9" s="7"/>
    </row>
    <row r="10" spans="2:20" x14ac:dyDescent="0.25">
      <c r="B10" s="92">
        <f>Aliquotas!B11</f>
        <v>44378</v>
      </c>
      <c r="C10" s="93">
        <f>'Dados de entrada'!C11*((Aliquotas!C11)+(Aliquotas!D11))</f>
        <v>2404.2218247000001</v>
      </c>
      <c r="D10" s="94">
        <f>'Dados de entrada'!D11*(Aliquotas!F11+Aliquotas!E11)</f>
        <v>13982.409801399999</v>
      </c>
      <c r="E10" s="94">
        <f>IF((MAX('Dados de entrada'!E11:F11))&gt;=($S$3),(MAX('Dados de entrada'!E11:F11))*Aliquotas!G11,$S$3*Aliquotas!G11)</f>
        <v>5091.6095999999998</v>
      </c>
      <c r="F10" s="94">
        <f>IF(((MAX('Dados de entrada'!E11:F11))-$S$3)&gt;($S$3*0.05),(MAX('Dados de entrada'!E11:F11))-$S$3,0)*2*Aliquotas!G11</f>
        <v>7488.2191999999995</v>
      </c>
      <c r="G10" s="94">
        <f>'Dados de entrada'!G11*Aliquotas!H11</f>
        <v>653.28337116</v>
      </c>
      <c r="H10" s="94">
        <f>IF(MAX('Dados de entrada'!H11,'Dados de entrada'!I11)&gt;MAX('Dados de entrada'!E11,'Dados de entrada'!F11,'Tarifa Verde Atual'!$S$3),(MAX('Dados de entrada'!H11,'Dados de entrada'!I11)-MAX('Dados de entrada'!E11,'Dados de entrada'!F11,'Tarifa Verde Atual'!$S$3))*Aliquotas!I11,0)</f>
        <v>158.00784999999999</v>
      </c>
      <c r="I10" s="94">
        <f>'Dados de entrada'!J11</f>
        <v>4051.47</v>
      </c>
      <c r="J10" s="94">
        <f t="shared" si="1"/>
        <v>33829.221647259998</v>
      </c>
      <c r="K10" s="94">
        <f>'Dados de entrada'!M11</f>
        <v>0</v>
      </c>
      <c r="L10" s="95">
        <f>'Dados de entrada'!K11</f>
        <v>0</v>
      </c>
      <c r="M10" s="95">
        <f>'Dados de entrada'!L11</f>
        <v>-143.11000000000001</v>
      </c>
      <c r="N10" s="94">
        <f>J10/(1-('Dados de entrada'!N11+'Dados de entrada'!O11)/100)*('Dados de entrada'!N11/100)</f>
        <v>369.65943450750905</v>
      </c>
      <c r="O10" s="95">
        <f>J10/(1-('Dados de entrada'!N11+'Dados de entrada'!O11)/100)*('Dados de entrada'!O11/100)</f>
        <v>1690.3844043984152</v>
      </c>
      <c r="P10" s="100">
        <f t="shared" si="0"/>
        <v>35746.155486165917</v>
      </c>
      <c r="Q10" s="27"/>
      <c r="T10" s="7"/>
    </row>
    <row r="11" spans="2:20" x14ac:dyDescent="0.25">
      <c r="B11" s="92">
        <f>Aliquotas!B12</f>
        <v>44348</v>
      </c>
      <c r="C11" s="93">
        <f>'Dados de entrada'!C12*((Aliquotas!C12)+(Aliquotas!D12))</f>
        <v>2509.2505989199999</v>
      </c>
      <c r="D11" s="94">
        <f>'Dados de entrada'!D12*(Aliquotas!F12+Aliquotas!E12)</f>
        <v>8111.2607881800004</v>
      </c>
      <c r="E11" s="94">
        <f>IF((MAX('Dados de entrada'!E12:F12))&gt;=($S$3),(MAX('Dados de entrada'!E12:F12))*Aliquotas!G12,$S$3*Aliquotas!G12)</f>
        <v>4472.8375999999998</v>
      </c>
      <c r="F11" s="94">
        <f>IF(((MAX('Dados de entrada'!E12:F12))-$S$3)&gt;($S$3*0.05),(MAX('Dados de entrada'!E12:F12))-$S$3,0)*2*Aliquotas!G12</f>
        <v>6250.6751999999997</v>
      </c>
      <c r="G11" s="94">
        <f>'Dados de entrada'!G12*Aliquotas!H12</f>
        <v>146.334699</v>
      </c>
      <c r="H11" s="94">
        <f>IF(MAX('Dados de entrada'!H12,'Dados de entrada'!I12)&gt;MAX('Dados de entrada'!E12,'Dados de entrada'!F12,'Tarifa Verde Atual'!$S$3),(MAX('Dados de entrada'!H12,'Dados de entrada'!I12)-MAX('Dados de entrada'!E12,'Dados de entrada'!F12,'Tarifa Verde Atual'!$S$3))*Aliquotas!I12,0)</f>
        <v>64.08710000000039</v>
      </c>
      <c r="I11" s="94">
        <f>'Dados de entrada'!J12</f>
        <v>1592.69</v>
      </c>
      <c r="J11" s="94">
        <f t="shared" si="1"/>
        <v>23147.135986099995</v>
      </c>
      <c r="K11" s="94">
        <f>'Dados de entrada'!M12</f>
        <v>0</v>
      </c>
      <c r="L11" s="95">
        <f>'Dados de entrada'!K12</f>
        <v>0</v>
      </c>
      <c r="M11" s="95">
        <f>'Dados de entrada'!L12</f>
        <v>-803.64</v>
      </c>
      <c r="N11" s="94">
        <f>J11/(1-('Dados de entrada'!N12+'Dados de entrada'!O12)/100)*('Dados de entrada'!N12/100)</f>
        <v>101.98020977482581</v>
      </c>
      <c r="O11" s="95">
        <f>J11/(1-('Dados de entrada'!N12+'Dados de entrada'!O12)/100)*('Dados de entrada'!O12/100)</f>
        <v>467.21165873582981</v>
      </c>
      <c r="P11" s="100">
        <f t="shared" si="0"/>
        <v>22912.687854610649</v>
      </c>
      <c r="Q11" s="26"/>
      <c r="T11" s="7"/>
    </row>
    <row r="12" spans="2:20" x14ac:dyDescent="0.25">
      <c r="B12" s="92">
        <f>Aliquotas!B13</f>
        <v>44317</v>
      </c>
      <c r="C12" s="93">
        <f>'Dados de entrada'!C13*((Aliquotas!C13)+(Aliquotas!D13))</f>
        <v>2916.8912469500001</v>
      </c>
      <c r="D12" s="94">
        <f>'Dados de entrada'!D13*(Aliquotas!F13+Aliquotas!E13)</f>
        <v>10910.255712259999</v>
      </c>
      <c r="E12" s="94">
        <f>IF((MAX('Dados de entrada'!E13:F13))&gt;=($S$3),(MAX('Dados de entrada'!E13:F13))*Aliquotas!G13,$S$3*Aliquotas!G13)</f>
        <v>4711.5068000000001</v>
      </c>
      <c r="F12" s="94">
        <f>IF(((MAX('Dados de entrada'!E13:F13))-$S$3)&gt;($S$3*0.05),(MAX('Dados de entrada'!E13:F13))-$S$3,0)*2*Aliquotas!G13</f>
        <v>6728.0136000000002</v>
      </c>
      <c r="G12" s="94">
        <f>'Dados de entrada'!G13*Aliquotas!H13</f>
        <v>174.72848147999997</v>
      </c>
      <c r="H12" s="94">
        <f>IF(MAX('Dados de entrada'!H13,'Dados de entrada'!I13)&gt;MAX('Dados de entrada'!E13,'Dados de entrada'!F13,'Tarifa Verde Atual'!$S$3),(MAX('Dados de entrada'!H13,'Dados de entrada'!I13)-MAX('Dados de entrada'!E13,'Dados de entrada'!F13,'Tarifa Verde Atual'!$S$3))*Aliquotas!I13,0)</f>
        <v>116.01975000000019</v>
      </c>
      <c r="I12" s="94">
        <f>'Dados de entrada'!J13</f>
        <v>1417.72</v>
      </c>
      <c r="J12" s="94">
        <f t="shared" si="1"/>
        <v>26975.135590689999</v>
      </c>
      <c r="K12" s="94">
        <f>'Dados de entrada'!M13</f>
        <v>0</v>
      </c>
      <c r="L12" s="95">
        <f>'Dados de entrada'!K13</f>
        <v>0</v>
      </c>
      <c r="M12" s="95">
        <f>'Dados de entrada'!L13</f>
        <v>0</v>
      </c>
      <c r="N12" s="94">
        <f>J12/(1-('Dados de entrada'!N13+'Dados de entrada'!O13)/100)*('Dados de entrada'!N13/100)</f>
        <v>190.75595051652664</v>
      </c>
      <c r="O12" s="95">
        <f>J12/(1-('Dados de entrada'!N13+'Dados de entrada'!O13)/100)*('Dados de entrada'!O13/100)</f>
        <v>886.4541229885649</v>
      </c>
      <c r="P12" s="100">
        <f t="shared" si="0"/>
        <v>28052.345664195091</v>
      </c>
      <c r="Q12" s="26"/>
      <c r="T12" s="7"/>
    </row>
    <row r="13" spans="2:20" x14ac:dyDescent="0.25">
      <c r="B13" s="92">
        <f>Aliquotas!B14</f>
        <v>44287</v>
      </c>
      <c r="C13" s="93">
        <f>'Dados de entrada'!C14*((Aliquotas!C14)+(Aliquotas!D14))</f>
        <v>2920.2380502999999</v>
      </c>
      <c r="D13" s="94">
        <f>'Dados de entrada'!D14*(Aliquotas!F14+Aliquotas!E14)</f>
        <v>13565.118201499999</v>
      </c>
      <c r="E13" s="94">
        <f>IF((MAX('Dados de entrada'!E14:F14))&gt;=($S$3),(MAX('Dados de entrada'!E14:F14))*Aliquotas!G14,$S$3*Aliquotas!G14)</f>
        <v>4729.1859999999997</v>
      </c>
      <c r="F13" s="94">
        <f>IF(((MAX('Dados de entrada'!E14:F14))-$S$3)&gt;($S$3*0.05),(MAX('Dados de entrada'!E14:F14))-$S$3,0)*2*Aliquotas!G14</f>
        <v>6763.3719999999994</v>
      </c>
      <c r="G13" s="94">
        <f>'Dados de entrada'!G14*Aliquotas!H14</f>
        <v>345.14507495999999</v>
      </c>
      <c r="H13" s="94">
        <f>IF(MAX('Dados de entrada'!H14,'Dados de entrada'!I14)&gt;MAX('Dados de entrada'!E14,'Dados de entrada'!F14,'Tarifa Verde Atual'!$S$3),(MAX('Dados de entrada'!H14,'Dados de entrada'!I14)-MAX('Dados de entrada'!E14,'Dados de entrada'!F14,'Tarifa Verde Atual'!$S$3))*Aliquotas!I14,0)</f>
        <v>152.48309999999964</v>
      </c>
      <c r="I13" s="94">
        <f>'Dados de entrada'!J14</f>
        <v>561.44000000000005</v>
      </c>
      <c r="J13" s="94">
        <f t="shared" si="1"/>
        <v>29036.982426759998</v>
      </c>
      <c r="K13" s="94">
        <f>'Dados de entrada'!M14</f>
        <v>0</v>
      </c>
      <c r="L13" s="95">
        <f>'Dados de entrada'!K14</f>
        <v>0</v>
      </c>
      <c r="M13" s="95">
        <f>'Dados de entrada'!L14</f>
        <v>-1531.3700000000001</v>
      </c>
      <c r="N13" s="94">
        <f>J13/(1-('Dados de entrada'!N14+'Dados de entrada'!O14)/100)*('Dados de entrada'!N14/100)</f>
        <v>236.91261812628454</v>
      </c>
      <c r="O13" s="95">
        <f>J13/(1-('Dados de entrada'!N14+'Dados de entrada'!O14)/100)*('Dados de entrada'!O14/100)</f>
        <v>1099.5175354066025</v>
      </c>
      <c r="P13" s="100">
        <f t="shared" si="0"/>
        <v>28842.042580292884</v>
      </c>
      <c r="Q13" s="26"/>
      <c r="T13" s="7"/>
    </row>
    <row r="14" spans="2:20" ht="15.75" thickBot="1" x14ac:dyDescent="0.3">
      <c r="B14" s="96">
        <f>Aliquotas!B15</f>
        <v>44256</v>
      </c>
      <c r="C14" s="97">
        <f>'Dados de entrada'!C15*((Aliquotas!C15)+(Aliquotas!D15))</f>
        <v>3382.64457133</v>
      </c>
      <c r="D14" s="98">
        <f>'Dados de entrada'!D15*(Aliquotas!F15+Aliquotas!E15)</f>
        <v>14643.026101689999</v>
      </c>
      <c r="E14" s="98">
        <f>IF((MAX('Dados de entrada'!E15:F15))&gt;=($S$3),(MAX('Dados de entrada'!E15:F15))*Aliquotas!G15,$S$3*Aliquotas!G15)</f>
        <v>5652.9241999999995</v>
      </c>
      <c r="F14" s="98">
        <f>(IF(((MAX('Dados de entrada'!E15:F15))-$S$3)&gt;($S$3*0.05),(MAX('Dados de entrada'!E15:F15))-$S$3,0)*2*Aliquotas!G15)</f>
        <v>8610.8483999999989</v>
      </c>
      <c r="G14" s="98">
        <f>'Dados de entrada'!G15*Aliquotas!H15</f>
        <v>466.25522916</v>
      </c>
      <c r="H14" s="98">
        <f>IF(MAX('Dados de entrada'!H15,'Dados de entrada'!I15)&gt;MAX('Dados de entrada'!E15,'Dados de entrada'!F15,'Tarifa Verde Atual'!$S$3),(MAX('Dados de entrada'!H15,'Dados de entrada'!I15)-MAX('Dados de entrada'!E15,'Dados de entrada'!F15,'Tarifa Verde Atual'!$S$3))*Aliquotas!I15,0)</f>
        <v>199.99594999999979</v>
      </c>
      <c r="I14" s="98">
        <f>'Dados de entrada'!J15</f>
        <v>608.14</v>
      </c>
      <c r="J14" s="98">
        <f t="shared" si="1"/>
        <v>33563.834452179995</v>
      </c>
      <c r="K14" s="98">
        <f>'Dados de entrada'!M15</f>
        <v>0</v>
      </c>
      <c r="L14" s="99">
        <f>'Dados de entrada'!K15</f>
        <v>0</v>
      </c>
      <c r="M14" s="99">
        <f>'Dados de entrada'!L15</f>
        <v>0</v>
      </c>
      <c r="N14" s="98">
        <f>J14/(1-('Dados de entrada'!N15+'Dados de entrada'!O15)/100)*('Dados de entrada'!N15/100)</f>
        <v>385.87333626095801</v>
      </c>
      <c r="O14" s="99">
        <f>J14/(1-('Dados de entrada'!N15+'Dados de entrada'!O15)/100)*('Dados de entrada'!O15/100)</f>
        <v>1779.3048283144174</v>
      </c>
      <c r="P14" s="101">
        <f t="shared" si="0"/>
        <v>35729.012616755368</v>
      </c>
      <c r="Q14" s="26"/>
      <c r="T14" s="7"/>
    </row>
    <row r="15" spans="2:20" ht="32.25" thickBot="1" x14ac:dyDescent="0.3">
      <c r="B15" s="134" t="s">
        <v>25</v>
      </c>
      <c r="C15" s="102">
        <f t="shared" ref="C15:J15" si="2">SUM(C3:C14)</f>
        <v>34915.78878597272</v>
      </c>
      <c r="D15" s="103">
        <f t="shared" si="2"/>
        <v>147882.97314104799</v>
      </c>
      <c r="E15" s="103">
        <f t="shared" si="2"/>
        <v>65351.699980018886</v>
      </c>
      <c r="F15" s="103">
        <f>SUM(F3:F14)</f>
        <v>93925.593508037768</v>
      </c>
      <c r="G15" s="103">
        <f t="shared" si="2"/>
        <v>5105.0864642451797</v>
      </c>
      <c r="H15" s="103">
        <f t="shared" ref="H15" si="3">SUM(H3:H14)</f>
        <v>2226.6166126255603</v>
      </c>
      <c r="I15" s="103">
        <f t="shared" si="2"/>
        <v>43267.360000000008</v>
      </c>
      <c r="J15" s="103">
        <f t="shared" si="2"/>
        <v>392675.11849194817</v>
      </c>
      <c r="K15" s="103">
        <f t="shared" ref="K15:P15" si="4">SUM(K3:K14)</f>
        <v>0</v>
      </c>
      <c r="L15" s="103">
        <f t="shared" si="4"/>
        <v>1871.9099999999999</v>
      </c>
      <c r="M15" s="103"/>
      <c r="N15" s="103">
        <f t="shared" si="4"/>
        <v>4166.8708444358044</v>
      </c>
      <c r="O15" s="103">
        <f t="shared" si="4"/>
        <v>19207.61562991915</v>
      </c>
      <c r="P15" s="139">
        <f t="shared" si="4"/>
        <v>405895.62496630306</v>
      </c>
      <c r="T15" s="7"/>
    </row>
    <row r="17" spans="3:15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8"/>
      <c r="O18" s="11"/>
    </row>
    <row r="19" spans="3:15" x14ac:dyDescent="0.25">
      <c r="C19" s="7"/>
      <c r="G19" s="8"/>
      <c r="K19" s="7"/>
    </row>
    <row r="20" spans="3:15" x14ac:dyDescent="0.25">
      <c r="H20" s="14" t="s">
        <v>26</v>
      </c>
    </row>
    <row r="22" spans="3:15" x14ac:dyDescent="0.25">
      <c r="G22" s="8"/>
    </row>
  </sheetData>
  <pageMargins left="0.511811024" right="0.511811024" top="0.78740157499999996" bottom="0.78740157499999996" header="0.31496062000000002" footer="0.31496062000000002"/>
  <ignoredErrors>
    <ignoredError sqref="E3 E9:E14" formulaRange="1"/>
    <ignoredError sqref="H15:I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5"/>
  <sheetViews>
    <sheetView showGridLines="0" zoomScale="90" zoomScaleNormal="90" workbookViewId="0">
      <selection activeCell="D19" sqref="D19"/>
    </sheetView>
  </sheetViews>
  <sheetFormatPr defaultRowHeight="15" x14ac:dyDescent="0.25"/>
  <cols>
    <col min="1" max="1" width="8.5703125" customWidth="1"/>
    <col min="2" max="2" width="11.28515625" customWidth="1"/>
    <col min="3" max="3" width="15.85546875" customWidth="1"/>
    <col min="4" max="4" width="15.7109375" customWidth="1"/>
    <col min="5" max="5" width="14.140625" customWidth="1"/>
    <col min="6" max="6" width="15" customWidth="1"/>
    <col min="7" max="7" width="14.28515625" customWidth="1"/>
    <col min="8" max="8" width="14.5703125" customWidth="1"/>
    <col min="9" max="9" width="14.28515625" customWidth="1"/>
    <col min="10" max="11" width="15.7109375" customWidth="1"/>
    <col min="12" max="12" width="14.28515625" customWidth="1"/>
    <col min="13" max="13" width="14.140625" customWidth="1"/>
    <col min="14" max="14" width="14.28515625" customWidth="1"/>
    <col min="15" max="15" width="14.140625" customWidth="1"/>
    <col min="16" max="16" width="15.5703125" customWidth="1"/>
    <col min="17" max="17" width="11" bestFit="1" customWidth="1"/>
    <col min="18" max="18" width="22.28515625" bestFit="1" customWidth="1"/>
    <col min="20" max="20" width="13.85546875" bestFit="1" customWidth="1"/>
  </cols>
  <sheetData>
    <row r="1" spans="2:20" ht="47.25" customHeight="1" thickBot="1" x14ac:dyDescent="0.3"/>
    <row r="2" spans="2:20" ht="45" customHeight="1" thickBot="1" x14ac:dyDescent="0.3">
      <c r="B2" s="141" t="s">
        <v>3</v>
      </c>
      <c r="C2" s="142" t="s">
        <v>52</v>
      </c>
      <c r="D2" s="143" t="s">
        <v>53</v>
      </c>
      <c r="E2" s="143" t="s">
        <v>54</v>
      </c>
      <c r="F2" s="143" t="s">
        <v>55</v>
      </c>
      <c r="G2" s="143" t="s">
        <v>56</v>
      </c>
      <c r="H2" s="143" t="s">
        <v>57</v>
      </c>
      <c r="I2" s="143" t="s">
        <v>58</v>
      </c>
      <c r="J2" s="143" t="s">
        <v>20</v>
      </c>
      <c r="K2" s="143" t="s">
        <v>59</v>
      </c>
      <c r="L2" s="143" t="s">
        <v>27</v>
      </c>
      <c r="M2" s="143" t="s">
        <v>28</v>
      </c>
      <c r="N2" s="143" t="s">
        <v>21</v>
      </c>
      <c r="O2" s="143" t="s">
        <v>22</v>
      </c>
      <c r="P2" s="144" t="s">
        <v>23</v>
      </c>
    </row>
    <row r="3" spans="2:20" ht="16.5" thickBot="1" x14ac:dyDescent="0.3">
      <c r="B3" s="112">
        <f>'Dados de entrada'!B4</f>
        <v>44593</v>
      </c>
      <c r="C3" s="114">
        <f>'Dados de entrada'!C4*((Aliquotas!$C$16)+(Aliquotas!$D$16))</f>
        <v>3167.8257691500003</v>
      </c>
      <c r="D3" s="115">
        <f>'Dados de entrada'!D4*(Aliquotas!$F$16+Aliquotas!$E$16)</f>
        <v>12664.492592019998</v>
      </c>
      <c r="E3" s="115">
        <f>IF((MAX('Dados de entrada'!E4:F4))&gt;=($S$3),(MAX('Dados de entrada'!E4:F4))*Aliquotas!$G$16,$S$3*Aliquotas!$G$16)</f>
        <v>6142.2805199999993</v>
      </c>
      <c r="F3" s="115">
        <f>IF(((MAX('Dados de entrada'!E4:F4))-$S$3)&gt;($S$3*0.05),(MAX('Dados de entrada'!E4:F4))-$S$3,0)*2*Aliquotas!$G$16</f>
        <v>0</v>
      </c>
      <c r="G3" s="115">
        <f>'Dados de entrada'!G4*Aliquotas!$H$16</f>
        <v>239.25209536</v>
      </c>
      <c r="H3" s="115">
        <f>IF(MAX('Dados de entrada'!H4,'Dados de entrada'!I4)&gt;MAX('Dados de entrada'!E4,'Dados de entrada'!F4,$S$3),(MAX('Dados de entrada'!H4,'Dados de entrada'!I4)-MAX('Dados de entrada'!E4,'Dados de entrada'!F4,$S$3))*Aliquotas!$I$16,0)</f>
        <v>0</v>
      </c>
      <c r="I3" s="105">
        <f>'Dados de entrada'!J4</f>
        <v>5413.79</v>
      </c>
      <c r="J3" s="105">
        <f>SUM(C3:I3)</f>
        <v>27627.640976529998</v>
      </c>
      <c r="K3" s="105">
        <f>'Dados de entrada'!M4</f>
        <v>0</v>
      </c>
      <c r="L3" s="105">
        <f>'Tarifa Verde Atual'!L3</f>
        <v>0</v>
      </c>
      <c r="M3" s="105">
        <f>'Tarifa Verde Atual'!M3</f>
        <v>-7685.13</v>
      </c>
      <c r="N3" s="105">
        <f>J3/(1-('Dados de entrada'!$N$16+'Dados de entrada'!$O$16)/100)*('Dados de entrada'!$N$16/100)</f>
        <v>284.18338007466087</v>
      </c>
      <c r="O3" s="106">
        <f>J3/(1-('Dados de entrada'!$N$16+'Dados de entrada'!$O$16)/100)*('Dados de entrada'!$O$16/100)</f>
        <v>1310.1170392473659</v>
      </c>
      <c r="P3" s="100">
        <f t="shared" ref="P3:P14" si="0">SUM(J3:O3)</f>
        <v>21536.811395852023</v>
      </c>
      <c r="R3" s="131" t="s">
        <v>39</v>
      </c>
      <c r="S3" s="140">
        <v>180</v>
      </c>
      <c r="T3" s="7"/>
    </row>
    <row r="4" spans="2:20" x14ac:dyDescent="0.25">
      <c r="B4" s="92">
        <f>'Dados de entrada'!B5</f>
        <v>44562</v>
      </c>
      <c r="C4" s="116">
        <f>'Dados de entrada'!C5*((Aliquotas!$C$16)+(Aliquotas!$D$16))</f>
        <v>3470.5210447500003</v>
      </c>
      <c r="D4" s="117">
        <f>'Dados de entrada'!D5*(Aliquotas!$F$16+Aliquotas!$E$16)</f>
        <v>10585.61387384</v>
      </c>
      <c r="E4" s="117">
        <f>IF((MAX('Dados de entrada'!E5:F5))&gt;=($S$3),(MAX('Dados de entrada'!E5:F5))*Aliquotas!$G$16,$S$3*Aliquotas!$G$16)</f>
        <v>6024.5999999999995</v>
      </c>
      <c r="F4" s="117">
        <f>IF(((MAX('Dados de entrada'!E5:F5))-$S$3)&gt;($S$3*0.05),(MAX('Dados de entrada'!E5:F5))-$S$3,0)*2*Aliquotas!$G$16</f>
        <v>0</v>
      </c>
      <c r="G4" s="117">
        <f>'Dados de entrada'!G5*Aliquotas!$H$16</f>
        <v>194.51827374000001</v>
      </c>
      <c r="H4" s="117">
        <f>IF(MAX('Dados de entrada'!H5,'Dados de entrada'!I5)&gt;MAX('Dados de entrada'!E5,'Dados de entrada'!F5,$S$3),(MAX('Dados de entrada'!H5,'Dados de entrada'!I5)-MAX('Dados de entrada'!E5,'Dados de entrada'!F5,$S$3))*Aliquotas!$I$16,0)</f>
        <v>0</v>
      </c>
      <c r="I4" s="94">
        <f>'Dados de entrada'!J5</f>
        <v>4592.33</v>
      </c>
      <c r="J4" s="94">
        <f t="shared" ref="J4:J14" si="1">SUM(C4:I4)</f>
        <v>24867.583192329999</v>
      </c>
      <c r="K4" s="94">
        <f>'Dados de entrada'!M5</f>
        <v>0</v>
      </c>
      <c r="L4" s="94">
        <f>'Tarifa Verde Atual'!L4</f>
        <v>0</v>
      </c>
      <c r="M4" s="94">
        <f>'Tarifa Verde Atual'!M4</f>
        <v>-551.03</v>
      </c>
      <c r="N4" s="94">
        <f>J4/(1-('Dados de entrada'!$N$16+'Dados de entrada'!$O$16)/100)*('Dados de entrada'!$N$16/100)</f>
        <v>255.79287974270494</v>
      </c>
      <c r="O4" s="95">
        <f>J4/(1-('Dados de entrada'!$N$16+'Dados de entrada'!$O$16)/100)*('Dados de entrada'!$O$16/100)</f>
        <v>1179.2336701077575</v>
      </c>
      <c r="P4" s="100">
        <f t="shared" si="0"/>
        <v>25751.579742180464</v>
      </c>
      <c r="T4" s="7"/>
    </row>
    <row r="5" spans="2:20" x14ac:dyDescent="0.25">
      <c r="B5" s="92">
        <f>'Dados de entrada'!B6</f>
        <v>44531</v>
      </c>
      <c r="C5" s="116">
        <f>'Dados de entrada'!C6*((Aliquotas!$C$16)+(Aliquotas!$D$16))</f>
        <v>3287.3219973</v>
      </c>
      <c r="D5" s="117">
        <f>'Dados de entrada'!D6*(Aliquotas!$F$16+Aliquotas!$E$16)</f>
        <v>9286.4630713000006</v>
      </c>
      <c r="E5" s="117">
        <f>IF((MAX('Dados de entrada'!E6:F6))&gt;=($S$3),(MAX('Dados de entrada'!E6:F6))*Aliquotas!$G$16,$S$3*Aliquotas!$G$16)</f>
        <v>6024.5999999999995</v>
      </c>
      <c r="F5" s="117">
        <f>IF(((MAX('Dados de entrada'!E6:F6))-$S$3)&gt;($S$3*0.05),(MAX('Dados de entrada'!E6:F6))-$S$3,0)*2*Aliquotas!$G$16</f>
        <v>0</v>
      </c>
      <c r="G5" s="117">
        <f>'Dados de entrada'!G6*Aliquotas!$H$16</f>
        <v>95.055077320000009</v>
      </c>
      <c r="H5" s="117">
        <f>IF(MAX('Dados de entrada'!H6,'Dados de entrada'!I6)&gt;MAX('Dados de entrada'!E6,'Dados de entrada'!F6,$S$3),(MAX('Dados de entrada'!H6,'Dados de entrada'!I6)-MAX('Dados de entrada'!E6,'Dados de entrada'!F6,$S$3))*Aliquotas!$I$16,0)</f>
        <v>0</v>
      </c>
      <c r="I5" s="94">
        <f>'Dados de entrada'!J6</f>
        <v>4048.55</v>
      </c>
      <c r="J5" s="94">
        <f t="shared" si="1"/>
        <v>22741.990145920001</v>
      </c>
      <c r="K5" s="94">
        <f>'Dados de entrada'!M6</f>
        <v>0</v>
      </c>
      <c r="L5" s="94">
        <f>'Tarifa Verde Atual'!L5</f>
        <v>1027.04</v>
      </c>
      <c r="M5" s="94">
        <f>'Tarifa Verde Atual'!M5</f>
        <v>-1311.61</v>
      </c>
      <c r="N5" s="94">
        <f>J5/(1-('Dados de entrada'!$N$16+'Dados de entrada'!$O$16)/100)*('Dados de entrada'!$N$16/100)</f>
        <v>233.92860920635539</v>
      </c>
      <c r="O5" s="95">
        <f>J5/(1-('Dados de entrada'!$N$16+'Dados de entrada'!$O$16)/100)*('Dados de entrada'!$O$16/100)</f>
        <v>1078.4369473266429</v>
      </c>
      <c r="P5" s="100">
        <f t="shared" si="0"/>
        <v>23769.785702452999</v>
      </c>
      <c r="T5" s="7"/>
    </row>
    <row r="6" spans="2:20" x14ac:dyDescent="0.25">
      <c r="B6" s="92">
        <f>'Dados de entrada'!B7</f>
        <v>44501</v>
      </c>
      <c r="C6" s="116">
        <f>'Dados de entrada'!C7*((Aliquotas!$C$16)+(Aliquotas!$D$16))</f>
        <v>2690.5534160500001</v>
      </c>
      <c r="D6" s="117">
        <f>'Dados de entrada'!D7*(Aliquotas!$F$16+Aliquotas!$E$16)</f>
        <v>12202.740449440002</v>
      </c>
      <c r="E6" s="117">
        <f>IF((MAX('Dados de entrada'!E7:F7))&gt;=($S$3),(MAX('Dados de entrada'!E7:F7))*Aliquotas!$G$16,$S$3*Aliquotas!$G$16)</f>
        <v>6024.5999999999995</v>
      </c>
      <c r="F6" s="117">
        <f>IF(((MAX('Dados de entrada'!E7:F7))-$S$3)&gt;($S$3*0.05),(MAX('Dados de entrada'!E7:F7))-$S$3,0)*2*Aliquotas!$G$16</f>
        <v>0</v>
      </c>
      <c r="G6" s="117">
        <f>'Dados de entrada'!G7*Aliquotas!$H$16</f>
        <v>441.01800388000004</v>
      </c>
      <c r="H6" s="117">
        <f>IF(MAX('Dados de entrada'!H7,'Dados de entrada'!I7)&gt;MAX('Dados de entrada'!E7,'Dados de entrada'!F7,$S$3),(MAX('Dados de entrada'!H7,'Dados de entrada'!I7)-MAX('Dados de entrada'!E7,'Dados de entrada'!F7,$S$3))*Aliquotas!$I$16,0)</f>
        <v>0</v>
      </c>
      <c r="I6" s="94">
        <f>'Dados de entrada'!J7</f>
        <v>5186.83</v>
      </c>
      <c r="J6" s="94">
        <f t="shared" si="1"/>
        <v>26545.741869370002</v>
      </c>
      <c r="K6" s="94">
        <f>'Dados de entrada'!M7</f>
        <v>0</v>
      </c>
      <c r="L6" s="94">
        <f>'Tarifa Verde Atual'!L6</f>
        <v>844.87</v>
      </c>
      <c r="M6" s="94">
        <f>'Tarifa Verde Atual'!M6</f>
        <v>0</v>
      </c>
      <c r="N6" s="94">
        <f>J6/(1-('Dados de entrada'!$N$16+'Dados de entrada'!$O$16)/100)*('Dados de entrada'!$N$16/100)</f>
        <v>273.0547518492661</v>
      </c>
      <c r="O6" s="95">
        <f>J6/(1-('Dados de entrada'!$N$16+'Dados de entrada'!$O$16)/100)*('Dados de entrada'!$O$16/100)</f>
        <v>1258.8128234353489</v>
      </c>
      <c r="P6" s="100">
        <f t="shared" si="0"/>
        <v>28922.479444654618</v>
      </c>
      <c r="T6" s="7"/>
    </row>
    <row r="7" spans="2:20" x14ac:dyDescent="0.25">
      <c r="B7" s="92">
        <f>'Dados de entrada'!B8</f>
        <v>44470</v>
      </c>
      <c r="C7" s="116">
        <f>'Dados de entrada'!C8*((Aliquotas!$C$16)+(Aliquotas!$D$16))</f>
        <v>2583.7407470000003</v>
      </c>
      <c r="D7" s="117">
        <f>'Dados de entrada'!D8*(Aliquotas!$F$16+Aliquotas!$E$16)</f>
        <v>13457.99454704</v>
      </c>
      <c r="E7" s="117">
        <f>IF((MAX('Dados de entrada'!E8:F8))&gt;=($S$3),(MAX('Dados de entrada'!E8:F8))*Aliquotas!$G$16,$S$3*Aliquotas!$G$16)</f>
        <v>6147.7695999999996</v>
      </c>
      <c r="F7" s="117">
        <f>IF(((MAX('Dados de entrada'!E8:F8))-$S$3)&gt;($S$3*0.05),(MAX('Dados de entrada'!E8:F8))-$S$3,0)*2*Aliquotas!$G$16</f>
        <v>0</v>
      </c>
      <c r="G7" s="117">
        <f>'Dados de entrada'!G8*Aliquotas!$H$16</f>
        <v>724.46578683999996</v>
      </c>
      <c r="H7" s="117">
        <f>IF(MAX('Dados de entrada'!H8,'Dados de entrada'!I8)&gt;MAX('Dados de entrada'!E8,'Dados de entrada'!F8,$S$3),(MAX('Dados de entrada'!H8,'Dados de entrada'!I8)-MAX('Dados de entrada'!E8,'Dados de entrada'!F8,$S$3))*Aliquotas!$I$16,0)</f>
        <v>292.29351000000014</v>
      </c>
      <c r="I7" s="94">
        <f>'Dados de entrada'!J8</f>
        <v>5689.05</v>
      </c>
      <c r="J7" s="94">
        <f t="shared" si="1"/>
        <v>28895.314190879999</v>
      </c>
      <c r="K7" s="94">
        <f>'Dados de entrada'!M8</f>
        <v>0</v>
      </c>
      <c r="L7" s="94">
        <f>'Tarifa Verde Atual'!L7</f>
        <v>0</v>
      </c>
      <c r="M7" s="94">
        <f>'Tarifa Verde Atual'!M7</f>
        <v>0</v>
      </c>
      <c r="N7" s="94">
        <f>J7/(1-('Dados de entrada'!$N$16+'Dados de entrada'!$O$16)/100)*('Dados de entrada'!$N$16/100)</f>
        <v>297.22291751436239</v>
      </c>
      <c r="O7" s="95">
        <f>J7/(1-('Dados de entrada'!$N$16+'Dados de entrada'!$O$16)/100)*('Dados de entrada'!$O$16/100)</f>
        <v>1370.2307594064011</v>
      </c>
      <c r="P7" s="100">
        <f t="shared" si="0"/>
        <v>30562.767867800761</v>
      </c>
      <c r="T7" s="7"/>
    </row>
    <row r="8" spans="2:20" x14ac:dyDescent="0.25">
      <c r="B8" s="92">
        <f>'Dados de entrada'!B9</f>
        <v>44440</v>
      </c>
      <c r="C8" s="116">
        <f>'Dados de entrada'!C9*((Aliquotas!$C$16)+(Aliquotas!$D$16))</f>
        <v>2837.2694171000003</v>
      </c>
      <c r="D8" s="117">
        <f>'Dados de entrada'!D9*(Aliquotas!$F$16+Aliquotas!$E$16)</f>
        <v>14480.7634566</v>
      </c>
      <c r="E8" s="117">
        <f>IF((MAX('Dados de entrada'!E9:F9))&gt;=($S$3),(MAX('Dados de entrada'!E9:F9))*Aliquotas!$G$16,$S$3*Aliquotas!$G$16)</f>
        <v>6208.14948</v>
      </c>
      <c r="F8" s="117">
        <f>IF(((MAX('Dados de entrada'!E9:F9))-$S$3)&gt;($S$3*0.05),(MAX('Dados de entrada'!E9:F9))-$S$3,0)*2*Aliquotas!$G$16</f>
        <v>0</v>
      </c>
      <c r="G8" s="117">
        <f>'Dados de entrada'!G9*Aliquotas!$H$16</f>
        <v>761.66573218000008</v>
      </c>
      <c r="H8" s="117">
        <f>IF(MAX('Dados de entrada'!H9,'Dados de entrada'!I9)&gt;MAX('Dados de entrada'!E9,'Dados de entrada'!F9,$S$3),(MAX('Dados de entrada'!H9,'Dados de entrada'!I9)-MAX('Dados de entrada'!E9,'Dados de entrada'!F9,$S$3))*Aliquotas!$I$16,0)</f>
        <v>462.45499000000024</v>
      </c>
      <c r="I8" s="94">
        <f>'Dados de entrada'!J9</f>
        <v>6126.07</v>
      </c>
      <c r="J8" s="94">
        <f t="shared" si="1"/>
        <v>30876.373075880005</v>
      </c>
      <c r="K8" s="94">
        <f>'Dados de entrada'!M9</f>
        <v>0</v>
      </c>
      <c r="L8" s="94">
        <f>'Tarifa Verde Atual'!L8</f>
        <v>0</v>
      </c>
      <c r="M8" s="94">
        <f>'Tarifa Verde Atual'!M8</f>
        <v>0</v>
      </c>
      <c r="N8" s="94">
        <f>J8/(1-('Dados de entrada'!$N$16+'Dados de entrada'!$O$16)/100)*('Dados de entrada'!$N$16/100)</f>
        <v>317.60048107632201</v>
      </c>
      <c r="O8" s="95">
        <f>J8/(1-('Dados de entrada'!$N$16+'Dados de entrada'!$O$16)/100)*('Dados de entrada'!$O$16/100)</f>
        <v>1464.173597421262</v>
      </c>
      <c r="P8" s="100">
        <f t="shared" si="0"/>
        <v>32658.147154377588</v>
      </c>
      <c r="T8" s="7"/>
    </row>
    <row r="9" spans="2:20" x14ac:dyDescent="0.25">
      <c r="B9" s="92">
        <f>'Dados de entrada'!B10</f>
        <v>44409</v>
      </c>
      <c r="C9" s="116">
        <f>'Dados de entrada'!C10*((Aliquotas!$C$16)+(Aliquotas!$D$16))</f>
        <v>2825.1559056000001</v>
      </c>
      <c r="D9" s="117">
        <f>'Dados de entrada'!D10*(Aliquotas!$F$16+Aliquotas!$E$16)</f>
        <v>14057.959090999999</v>
      </c>
      <c r="E9" s="117">
        <f>IF((MAX('Dados de entrada'!E10:F10))&gt;=($S$3),(MAX('Dados de entrada'!E10:F10))*Aliquotas!$G$16,$S$3*Aliquotas!$G$16)</f>
        <v>6024.5999999999995</v>
      </c>
      <c r="F9" s="117">
        <f>IF(((MAX('Dados de entrada'!E10:F10))-$S$3)&gt;($S$3*0.05),(MAX('Dados de entrada'!E10:F10))-$S$3,0)*2*Aliquotas!$G$16</f>
        <v>0</v>
      </c>
      <c r="G9" s="117">
        <f>'Dados de entrada'!G10*Aliquotas!$H$16</f>
        <v>873.25411854000004</v>
      </c>
      <c r="H9" s="117">
        <f>IF(MAX('Dados de entrada'!H10,'Dados de entrada'!I10)&gt;MAX('Dados de entrada'!E10,'Dados de entrada'!F10,$S$3),(MAX('Dados de entrada'!H10,'Dados de entrada'!I10)-MAX('Dados de entrada'!E10,'Dados de entrada'!F10,$S$3))*Aliquotas!$I$16,0)</f>
        <v>105.33009000000065</v>
      </c>
      <c r="I9" s="94">
        <f>'Dados de entrada'!J10</f>
        <v>3979.28</v>
      </c>
      <c r="J9" s="94">
        <f t="shared" si="1"/>
        <v>27865.579205139995</v>
      </c>
      <c r="K9" s="94">
        <f>'Dados de entrada'!M10</f>
        <v>0</v>
      </c>
      <c r="L9" s="94">
        <f>'Tarifa Verde Atual'!L9</f>
        <v>0</v>
      </c>
      <c r="M9" s="94">
        <f>'Tarifa Verde Atual'!M9</f>
        <v>0</v>
      </c>
      <c r="N9" s="94">
        <f>J9/(1-('Dados de entrada'!$N$16+'Dados de entrada'!$O$16)/100)*('Dados de entrada'!$N$16/100)</f>
        <v>286.63085976041503</v>
      </c>
      <c r="O9" s="95">
        <f>J9/(1-('Dados de entrada'!$N$16+'Dados de entrada'!$O$16)/100)*('Dados de entrada'!$O$16/100)</f>
        <v>1321.4001932399601</v>
      </c>
      <c r="P9" s="100">
        <f t="shared" si="0"/>
        <v>29473.610258140368</v>
      </c>
      <c r="T9" s="7"/>
    </row>
    <row r="10" spans="2:20" x14ac:dyDescent="0.25">
      <c r="B10" s="92">
        <f>'Dados de entrada'!B11</f>
        <v>44378</v>
      </c>
      <c r="C10" s="116">
        <f>'Dados de entrada'!C11*((Aliquotas!$C$16)+(Aliquotas!$D$16))</f>
        <v>2815.3225845000002</v>
      </c>
      <c r="D10" s="117">
        <f>'Dados de entrada'!D11*(Aliquotas!$F$16+Aliquotas!$E$16)</f>
        <v>14325.287020399999</v>
      </c>
      <c r="E10" s="117">
        <f>IF((MAX('Dados de entrada'!E11:F11))&gt;=($S$3),(MAX('Dados de entrada'!E11:F11))*Aliquotas!$G$16,$S$3*Aliquotas!$G$16)</f>
        <v>6323.4201599999997</v>
      </c>
      <c r="F10" s="117">
        <f>IF(((MAX('Dados de entrada'!E11:F11))-$S$3)&gt;($S$3*0.05),(MAX('Dados de entrada'!E11:F11))-$S$3,0)*2*Aliquotas!$G$16</f>
        <v>0</v>
      </c>
      <c r="G10" s="117">
        <f>'Dados de entrada'!G11*Aliquotas!$H$16</f>
        <v>693.88374497999996</v>
      </c>
      <c r="H10" s="117">
        <f>IF(MAX('Dados de entrada'!H11,'Dados de entrada'!I11)&gt;MAX('Dados de entrada'!E11,'Dados de entrada'!F11,$S$3),(MAX('Dados de entrada'!H11,'Dados de entrada'!I11)-MAX('Dados de entrada'!E11,'Dados de entrada'!F11,$S$3))*Aliquotas!$I$16,0)</f>
        <v>196.23460999999998</v>
      </c>
      <c r="I10" s="94">
        <f>'Dados de entrada'!J11</f>
        <v>4051.47</v>
      </c>
      <c r="J10" s="94">
        <f>SUM(C10:I10)</f>
        <v>28405.61811988</v>
      </c>
      <c r="K10" s="94">
        <f>'Dados de entrada'!M11</f>
        <v>0</v>
      </c>
      <c r="L10" s="94">
        <f>'Tarifa Verde Atual'!L10</f>
        <v>0</v>
      </c>
      <c r="M10" s="94">
        <f>'Tarifa Verde Atual'!M10</f>
        <v>-143.11000000000001</v>
      </c>
      <c r="N10" s="94">
        <f>J10/(1-('Dados de entrada'!$N$16+'Dados de entrada'!$O$16)/100)*('Dados de entrada'!$N$16/100)</f>
        <v>292.18580686187192</v>
      </c>
      <c r="O10" s="95">
        <f>J10/(1-('Dados de entrada'!$N$16+'Dados de entrada'!$O$16)/100)*('Dados de entrada'!$O$16/100)</f>
        <v>1347.0091181806952</v>
      </c>
      <c r="P10" s="100">
        <f t="shared" si="0"/>
        <v>29901.703044922568</v>
      </c>
      <c r="T10" s="7"/>
    </row>
    <row r="11" spans="2:20" x14ac:dyDescent="0.25">
      <c r="B11" s="92">
        <f>'Dados de entrada'!B12</f>
        <v>44348</v>
      </c>
      <c r="C11" s="116">
        <f>'Dados de entrada'!C12*((Aliquotas!$C$16)+(Aliquotas!$D$16))</f>
        <v>2938.3103541999999</v>
      </c>
      <c r="D11" s="117">
        <f>'Dados de entrada'!D12*(Aliquotas!$F$16+Aliquotas!$E$16)</f>
        <v>8310.16545348</v>
      </c>
      <c r="E11" s="117">
        <f>IF((MAX('Dados de entrada'!E12:F12))&gt;=($S$3),(MAX('Dados de entrada'!E12:F12))*Aliquotas!$G$16,$S$3*Aliquotas!$G$16)</f>
        <v>6024.5999999999995</v>
      </c>
      <c r="F11" s="117">
        <f>IF(((MAX('Dados de entrada'!E12:F12))-$S$3)&gt;($S$3*0.05),(MAX('Dados de entrada'!E12:F12))-$S$3,0)*2*Aliquotas!$G$16</f>
        <v>0</v>
      </c>
      <c r="G11" s="117">
        <f>'Dados de entrada'!G12*Aliquotas!$H$16</f>
        <v>155.4291345</v>
      </c>
      <c r="H11" s="117">
        <f>IF(MAX('Dados de entrada'!H12,'Dados de entrada'!I12)&gt;MAX('Dados de entrada'!E12,'Dados de entrada'!F12,$S$3),(MAX('Dados de entrada'!H12,'Dados de entrada'!I12)-MAX('Dados de entrada'!E12,'Dados de entrada'!F12,$S$3))*Aliquotas!$I$16,0)</f>
        <v>0</v>
      </c>
      <c r="I11" s="94">
        <f>'Dados de entrada'!J12</f>
        <v>1592.69</v>
      </c>
      <c r="J11" s="94">
        <f t="shared" si="1"/>
        <v>19021.194942179995</v>
      </c>
      <c r="K11" s="94">
        <f>'Dados de entrada'!M12</f>
        <v>0</v>
      </c>
      <c r="L11" s="94">
        <f>'Tarifa Verde Atual'!L11</f>
        <v>0</v>
      </c>
      <c r="M11" s="94">
        <f>'Tarifa Verde Atual'!M11</f>
        <v>-803.64</v>
      </c>
      <c r="N11" s="94">
        <f>J11/(1-('Dados de entrada'!$N$16+'Dados de entrada'!$O$16)/100)*('Dados de entrada'!$N$16/100)</f>
        <v>195.65577373470995</v>
      </c>
      <c r="O11" s="95">
        <f>J11/(1-('Dados de entrada'!$N$16+'Dados de entrada'!$O$16)/100)*('Dados de entrada'!$O$16/100)</f>
        <v>901.99491233311039</v>
      </c>
      <c r="P11" s="100">
        <f t="shared" si="0"/>
        <v>19315.205628247815</v>
      </c>
      <c r="T11" s="7"/>
    </row>
    <row r="12" spans="2:20" x14ac:dyDescent="0.25">
      <c r="B12" s="92">
        <f>'Dados de entrada'!B13</f>
        <v>44317</v>
      </c>
      <c r="C12" s="116">
        <f>'Dados de entrada'!C13*((Aliquotas!$C$16)+(Aliquotas!$D$16))</f>
        <v>3415.6539632500003</v>
      </c>
      <c r="D12" s="117">
        <f>'Dados de entrada'!D13*(Aliquotas!$F$16+Aliquotas!$E$16)</f>
        <v>11177.79744436</v>
      </c>
      <c r="E12" s="117">
        <f>IF((MAX('Dados de entrada'!E13:F13))&gt;=($S$3),(MAX('Dados de entrada'!E13:F13))*Aliquotas!$G$16,$S$3*Aliquotas!$G$16)</f>
        <v>6024.5999999999995</v>
      </c>
      <c r="F12" s="117">
        <f>IF(((MAX('Dados de entrada'!E13:F13))-$S$3)&gt;($S$3*0.05),(MAX('Dados de entrada'!E13:F13))-$S$3,0)*2*Aliquotas!$G$16</f>
        <v>0</v>
      </c>
      <c r="G12" s="117">
        <f>'Dados de entrada'!G13*Aliquotas!$H$16</f>
        <v>185.58753894</v>
      </c>
      <c r="H12" s="117">
        <f>IF(MAX('Dados de entrada'!H13,'Dados de entrada'!I13)&gt;MAX('Dados de entrada'!E13,'Dados de entrada'!F13,$S$3),(MAX('Dados de entrada'!H13,'Dados de entrada'!I13)-MAX('Dados de entrada'!E13,'Dados de entrada'!F13,$S$3))*Aliquotas!$I$16,0)</f>
        <v>0</v>
      </c>
      <c r="I12" s="94">
        <f>'Dados de entrada'!J13</f>
        <v>1417.72</v>
      </c>
      <c r="J12" s="94">
        <f t="shared" si="1"/>
        <v>22221.358946550001</v>
      </c>
      <c r="K12" s="94">
        <f>'Dados de entrada'!M13</f>
        <v>0</v>
      </c>
      <c r="L12" s="94">
        <f>'Tarifa Verde Atual'!L12</f>
        <v>0</v>
      </c>
      <c r="M12" s="94">
        <f>'Tarifa Verde Atual'!M12</f>
        <v>0</v>
      </c>
      <c r="N12" s="94">
        <f>J12/(1-('Dados de entrada'!$N$16+'Dados de entrada'!$O$16)/100)*('Dados de entrada'!$N$16/100)</f>
        <v>228.57329370421095</v>
      </c>
      <c r="O12" s="95">
        <f>J12/(1-('Dados de entrada'!$N$16+'Dados de entrada'!$O$16)/100)*('Dados de entrada'!$O$16/100)</f>
        <v>1053.7483462970483</v>
      </c>
      <c r="P12" s="100">
        <f t="shared" si="0"/>
        <v>23503.680586551262</v>
      </c>
      <c r="T12" s="7"/>
    </row>
    <row r="13" spans="2:20" x14ac:dyDescent="0.25">
      <c r="B13" s="92">
        <f>'Dados de entrada'!B14</f>
        <v>44287</v>
      </c>
      <c r="C13" s="116">
        <f>'Dados de entrada'!C14*((Aliquotas!$C$16)+(Aliquotas!$D$16))</f>
        <v>3419.5730404999999</v>
      </c>
      <c r="D13" s="117">
        <f>'Dados de entrada'!D14*(Aliquotas!$F$16+Aliquotas!$E$16)</f>
        <v>13897.762579</v>
      </c>
      <c r="E13" s="117">
        <f>IF((MAX('Dados de entrada'!E14:F14))&gt;=($S$3),(MAX('Dados de entrada'!E14:F14))*Aliquotas!$G$16,$S$3*Aliquotas!$G$16)</f>
        <v>6024.5999999999995</v>
      </c>
      <c r="F13" s="117">
        <f>IF(((MAX('Dados de entrada'!E14:F14))-$S$3)&gt;($S$3*0.05),(MAX('Dados de entrada'!E14:F14))-$S$3,0)*2*Aliquotas!$G$16</f>
        <v>0</v>
      </c>
      <c r="G13" s="117">
        <f>'Dados de entrada'!G14*Aliquotas!$H$16</f>
        <v>366.59521388000002</v>
      </c>
      <c r="H13" s="117">
        <f>IF(MAX('Dados de entrada'!H14,'Dados de entrada'!I14)&gt;MAX('Dados de entrada'!E14,'Dados de entrada'!F14,$S$3),(MAX('Dados de entrada'!H14,'Dados de entrada'!I14)-MAX('Dados de entrada'!E14,'Dados de entrada'!F14,$S$3))*Aliquotas!$I$16,0)</f>
        <v>38.088859999999222</v>
      </c>
      <c r="I13" s="94">
        <f>'Dados de entrada'!J14</f>
        <v>561.44000000000005</v>
      </c>
      <c r="J13" s="94">
        <f t="shared" si="1"/>
        <v>24308.059693379997</v>
      </c>
      <c r="K13" s="94">
        <f>'Dados de entrada'!M14</f>
        <v>0</v>
      </c>
      <c r="L13" s="94">
        <f>'Tarifa Verde Atual'!L13</f>
        <v>0</v>
      </c>
      <c r="M13" s="94">
        <f>'Tarifa Verde Atual'!M13</f>
        <v>-1531.3700000000001</v>
      </c>
      <c r="N13" s="94">
        <f>J13/(1-('Dados de entrada'!$N$16+'Dados de entrada'!$O$16)/100)*('Dados de entrada'!$N$16/100)</f>
        <v>250.03751035384212</v>
      </c>
      <c r="O13" s="95">
        <f>J13/(1-('Dados de entrada'!$N$16+'Dados de entrada'!$O$16)/100)*('Dados de entrada'!$O$16/100)</f>
        <v>1152.7007760956908</v>
      </c>
      <c r="P13" s="100">
        <f t="shared" si="0"/>
        <v>24179.427979829532</v>
      </c>
      <c r="T13" s="7"/>
    </row>
    <row r="14" spans="2:20" ht="15.75" thickBot="1" x14ac:dyDescent="0.3">
      <c r="B14" s="113">
        <f>'Dados de entrada'!B15</f>
        <v>44256</v>
      </c>
      <c r="C14" s="118">
        <f>'Dados de entrada'!C15*((Aliquotas!$C$16)+(Aliquotas!$D$16))</f>
        <v>3961.0470045500001</v>
      </c>
      <c r="D14" s="119">
        <f>'Dados de entrada'!D15*(Aliquotas!$F$16+Aliquotas!$E$16)</f>
        <v>15002.10298034</v>
      </c>
      <c r="E14" s="119">
        <f>IF((MAX('Dados de entrada'!E15:F15))&gt;=($S$3),(MAX('Dados de entrada'!E15:F15))*Aliquotas!$G$16,$S$3*Aliquotas!$G$16)</f>
        <v>7020.5333199999995</v>
      </c>
      <c r="F14" s="119">
        <f>(IF(((MAX('Dados de entrada'!E15:F15))-$S$3)&gt;($S$3*0.05),(MAX('Dados de entrada'!E15:F15))-$S$3,0)*2*Aliquotas!$G$16)*0.586207769144825</f>
        <v>1167.6476994683983</v>
      </c>
      <c r="G14" s="119">
        <f>'Dados de entrada'!G15*Aliquotas!$H$16</f>
        <v>495.23214398000005</v>
      </c>
      <c r="H14" s="119">
        <f>IF(MAX('Dados de entrada'!H15,'Dados de entrada'!I15)&gt;MAX('Dados de entrada'!E15,'Dados de entrada'!F15,$S$3),(MAX('Dados de entrada'!H15,'Dados de entrada'!I15)-MAX('Dados de entrada'!E15,'Dados de entrada'!F15,$S$3))*Aliquotas!$I$16,0)</f>
        <v>248.38086999999973</v>
      </c>
      <c r="I14" s="108">
        <f>'Dados de entrada'!J15</f>
        <v>608.14</v>
      </c>
      <c r="J14" s="108">
        <f t="shared" si="1"/>
        <v>28503.084018338395</v>
      </c>
      <c r="K14" s="108">
        <f>'Dados de entrada'!M15</f>
        <v>0</v>
      </c>
      <c r="L14" s="108">
        <f>'Tarifa Verde Atual'!L14</f>
        <v>0</v>
      </c>
      <c r="M14" s="108">
        <f>'Tarifa Verde Atual'!M14</f>
        <v>0</v>
      </c>
      <c r="N14" s="108">
        <f>J14/(1-('Dados de entrada'!$N$16+'Dados de entrada'!$O$16)/100)*('Dados de entrada'!$N$16/100)</f>
        <v>293.18836037302583</v>
      </c>
      <c r="O14" s="109">
        <f>J14/(1-('Dados de entrada'!$N$16+'Dados de entrada'!$O$16)/100)*('Dados de entrada'!$O$16/100)</f>
        <v>1351.6310015483114</v>
      </c>
      <c r="P14" s="101">
        <f t="shared" si="0"/>
        <v>30147.903380259733</v>
      </c>
      <c r="T14" s="7"/>
    </row>
    <row r="15" spans="2:20" ht="32.25" thickBot="1" x14ac:dyDescent="0.3">
      <c r="B15" s="134" t="s">
        <v>25</v>
      </c>
      <c r="C15" s="102">
        <f t="shared" ref="C15:J15" si="2">SUM(C3:C14)</f>
        <v>37412.29524395</v>
      </c>
      <c r="D15" s="103">
        <f t="shared" si="2"/>
        <v>149449.14255881996</v>
      </c>
      <c r="E15" s="110">
        <f t="shared" si="2"/>
        <v>74014.353080000001</v>
      </c>
      <c r="F15" s="111">
        <f>SUM(F3:F14)</f>
        <v>1167.6476994683983</v>
      </c>
      <c r="G15" s="111">
        <f t="shared" si="2"/>
        <v>5225.9568641400001</v>
      </c>
      <c r="H15" s="111">
        <f t="shared" ref="H15" si="3">SUM(H3:H14)</f>
        <v>1342.7829299999999</v>
      </c>
      <c r="I15" s="103">
        <f t="shared" si="2"/>
        <v>43267.360000000008</v>
      </c>
      <c r="J15" s="103">
        <f t="shared" si="2"/>
        <v>311879.53837637842</v>
      </c>
      <c r="K15" s="103">
        <f t="shared" ref="K15:P15" si="4">SUM(K3:K14)</f>
        <v>0</v>
      </c>
      <c r="L15" s="103">
        <f t="shared" si="4"/>
        <v>1871.9099999999999</v>
      </c>
      <c r="M15" s="103">
        <f t="shared" si="4"/>
        <v>-12025.890000000001</v>
      </c>
      <c r="N15" s="103">
        <f t="shared" si="4"/>
        <v>3208.0546242517471</v>
      </c>
      <c r="O15" s="103">
        <f t="shared" si="4"/>
        <v>14789.489184639595</v>
      </c>
      <c r="P15" s="139">
        <f t="shared" si="4"/>
        <v>319723.10218526976</v>
      </c>
    </row>
    <row r="16" spans="2:20" x14ac:dyDescent="0.25">
      <c r="T16" s="8"/>
    </row>
    <row r="17" spans="3:20" x14ac:dyDescent="0.25">
      <c r="C17" s="10"/>
      <c r="I17" s="8"/>
      <c r="J17" s="30"/>
      <c r="M17" s="7"/>
      <c r="P17" s="7"/>
      <c r="Q17" s="8"/>
      <c r="T17" s="8"/>
    </row>
    <row r="18" spans="3:20" x14ac:dyDescent="0.25">
      <c r="C18" s="10"/>
      <c r="I18" s="8"/>
      <c r="J18" s="30"/>
      <c r="M18" s="7"/>
      <c r="P18" s="7"/>
      <c r="Q18" s="8"/>
      <c r="T18" s="8"/>
    </row>
    <row r="19" spans="3:20" x14ac:dyDescent="0.25">
      <c r="C19" s="10"/>
      <c r="I19" s="8"/>
      <c r="J19" s="30"/>
      <c r="M19" s="7"/>
      <c r="O19" s="7"/>
      <c r="Q19" s="8"/>
      <c r="T19" s="8"/>
    </row>
    <row r="20" spans="3:20" x14ac:dyDescent="0.25">
      <c r="C20" s="10"/>
      <c r="I20" s="8"/>
      <c r="J20" s="30"/>
      <c r="K20" s="10"/>
      <c r="M20" s="7"/>
      <c r="P20" s="9"/>
      <c r="Q20" s="8"/>
      <c r="T20" s="8"/>
    </row>
    <row r="21" spans="3:20" x14ac:dyDescent="0.25">
      <c r="C21" s="10"/>
      <c r="I21" s="8"/>
      <c r="J21" s="30"/>
      <c r="M21" s="7"/>
      <c r="P21" s="7"/>
      <c r="Q21" s="8"/>
      <c r="T21" s="8"/>
    </row>
    <row r="22" spans="3:20" x14ac:dyDescent="0.25">
      <c r="C22" s="10"/>
      <c r="I22" s="8"/>
      <c r="J22" s="30"/>
      <c r="M22" s="7"/>
      <c r="Q22" s="8"/>
      <c r="T22" s="8"/>
    </row>
    <row r="23" spans="3:20" x14ac:dyDescent="0.25">
      <c r="C23" s="10"/>
      <c r="I23" s="8"/>
      <c r="J23" s="30"/>
      <c r="M23" s="7"/>
      <c r="P23" s="31"/>
      <c r="Q23" s="8"/>
      <c r="T23" s="8"/>
    </row>
    <row r="24" spans="3:20" x14ac:dyDescent="0.25">
      <c r="C24" s="10"/>
      <c r="I24" s="8"/>
      <c r="J24" s="30"/>
      <c r="M24" s="7"/>
      <c r="Q24" s="8"/>
      <c r="T24" s="8"/>
    </row>
    <row r="25" spans="3:20" x14ac:dyDescent="0.25">
      <c r="C25" s="10"/>
      <c r="I25" s="8"/>
      <c r="J25" s="30"/>
      <c r="M25" s="7"/>
      <c r="Q25" s="8"/>
      <c r="T25" s="8"/>
    </row>
    <row r="26" spans="3:20" x14ac:dyDescent="0.25">
      <c r="C26" s="10"/>
      <c r="I26" s="8"/>
      <c r="J26" s="30"/>
      <c r="M26" s="7"/>
      <c r="Q26" s="8"/>
      <c r="T26" s="8"/>
    </row>
    <row r="27" spans="3:20" x14ac:dyDescent="0.25">
      <c r="C27" s="10"/>
      <c r="I27" s="8"/>
      <c r="J27" s="30"/>
      <c r="M27" s="7"/>
      <c r="Q27" s="8"/>
      <c r="T27" s="8"/>
    </row>
    <row r="28" spans="3:20" x14ac:dyDescent="0.25">
      <c r="C28" s="10"/>
      <c r="I28" s="8"/>
      <c r="J28" s="30"/>
      <c r="M28" s="7"/>
      <c r="Q28" s="8"/>
      <c r="T28" s="29"/>
    </row>
    <row r="29" spans="3:20" x14ac:dyDescent="0.25">
      <c r="C29" s="10"/>
      <c r="I29" s="8"/>
      <c r="J29" s="30"/>
      <c r="M29" s="7"/>
      <c r="Q29" s="8"/>
    </row>
    <row r="30" spans="3:20" x14ac:dyDescent="0.25">
      <c r="C30" s="7"/>
      <c r="I30" s="7"/>
      <c r="M30" s="7"/>
    </row>
    <row r="31" spans="3:20" x14ac:dyDescent="0.25">
      <c r="C31" s="7"/>
      <c r="I31" s="7"/>
      <c r="M31" s="7"/>
    </row>
    <row r="32" spans="3:20" x14ac:dyDescent="0.25">
      <c r="C32" s="7"/>
      <c r="I32" s="7"/>
      <c r="M32" s="7"/>
    </row>
    <row r="33" spans="3:13" x14ac:dyDescent="0.25">
      <c r="C33" s="7"/>
      <c r="I33" s="7"/>
      <c r="M33" s="7"/>
    </row>
    <row r="34" spans="3:13" x14ac:dyDescent="0.25">
      <c r="C34" s="7"/>
      <c r="I34" s="7"/>
    </row>
    <row r="35" spans="3:13" x14ac:dyDescent="0.25">
      <c r="C35" s="7"/>
      <c r="I35" s="7"/>
    </row>
    <row r="36" spans="3:13" x14ac:dyDescent="0.25">
      <c r="C36" s="7"/>
      <c r="I36" s="7"/>
    </row>
    <row r="37" spans="3:13" x14ac:dyDescent="0.25">
      <c r="C37" s="7"/>
      <c r="I37" s="7"/>
    </row>
    <row r="38" spans="3:13" x14ac:dyDescent="0.25">
      <c r="C38" s="7"/>
      <c r="I38" s="7"/>
    </row>
    <row r="39" spans="3:13" x14ac:dyDescent="0.25">
      <c r="C39" s="7"/>
      <c r="I39" s="7"/>
    </row>
    <row r="40" spans="3:13" x14ac:dyDescent="0.25">
      <c r="C40" s="7"/>
      <c r="I40" s="7"/>
    </row>
    <row r="41" spans="3:13" x14ac:dyDescent="0.25">
      <c r="C41" s="7"/>
      <c r="I41" s="7"/>
    </row>
    <row r="42" spans="3:13" x14ac:dyDescent="0.25">
      <c r="C42" s="7"/>
      <c r="I42" s="7"/>
    </row>
    <row r="43" spans="3:13" x14ac:dyDescent="0.25">
      <c r="C43" s="7"/>
      <c r="I43" s="7"/>
    </row>
    <row r="44" spans="3:13" x14ac:dyDescent="0.25">
      <c r="C44" s="7"/>
      <c r="I44" s="7"/>
    </row>
    <row r="45" spans="3:13" x14ac:dyDescent="0.25">
      <c r="C45" s="7"/>
      <c r="I45" s="7"/>
    </row>
    <row r="46" spans="3:13" x14ac:dyDescent="0.25">
      <c r="C46" s="7"/>
    </row>
    <row r="47" spans="3:13" x14ac:dyDescent="0.25">
      <c r="C47" s="7"/>
    </row>
    <row r="48" spans="3:1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6" spans="3:3" x14ac:dyDescent="0.25">
      <c r="C106" s="7"/>
    </row>
    <row r="107" spans="3:3" x14ac:dyDescent="0.25">
      <c r="C107" s="7"/>
    </row>
    <row r="108" spans="3:3" x14ac:dyDescent="0.25">
      <c r="C108" s="7"/>
    </row>
    <row r="109" spans="3:3" x14ac:dyDescent="0.25">
      <c r="C109" s="7"/>
    </row>
    <row r="110" spans="3:3" x14ac:dyDescent="0.25">
      <c r="C110" s="7"/>
    </row>
    <row r="111" spans="3:3" x14ac:dyDescent="0.25">
      <c r="C111" s="7"/>
    </row>
    <row r="112" spans="3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</sheetData>
  <pageMargins left="0.511811024" right="0.511811024" top="0.78740157499999996" bottom="0.78740157499999996" header="0.31496062000000002" footer="0.31496062000000002"/>
  <ignoredErrors>
    <ignoredError sqref="E3:F4 E5:F14" formulaRange="1"/>
    <ignoredError sqref="H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showGridLines="0" topLeftCell="G1" zoomScale="90" zoomScaleNormal="90" workbookViewId="0">
      <selection activeCell="R18" sqref="R18"/>
    </sheetView>
  </sheetViews>
  <sheetFormatPr defaultRowHeight="15" x14ac:dyDescent="0.25"/>
  <cols>
    <col min="2" max="2" width="10" customWidth="1"/>
    <col min="3" max="3" width="15.85546875" customWidth="1"/>
    <col min="4" max="4" width="15.7109375" customWidth="1"/>
    <col min="5" max="5" width="14.28515625" customWidth="1"/>
    <col min="6" max="6" width="14.140625" customWidth="1"/>
    <col min="7" max="7" width="15.42578125" customWidth="1"/>
    <col min="8" max="8" width="15" customWidth="1"/>
    <col min="9" max="10" width="14.28515625" customWidth="1"/>
    <col min="11" max="11" width="14.140625" customWidth="1"/>
    <col min="12" max="12" width="14.28515625" customWidth="1"/>
    <col min="13" max="13" width="15.7109375" customWidth="1"/>
    <col min="14" max="14" width="14.140625" customWidth="1"/>
    <col min="15" max="15" width="12.85546875" customWidth="1"/>
    <col min="16" max="16" width="12.7109375" customWidth="1"/>
    <col min="17" max="18" width="14" customWidth="1"/>
    <col min="19" max="19" width="15.7109375" customWidth="1"/>
    <col min="21" max="21" width="16.42578125" customWidth="1"/>
  </cols>
  <sheetData>
    <row r="1" spans="2:22" ht="39.75" customHeight="1" thickBot="1" x14ac:dyDescent="0.3"/>
    <row r="2" spans="2:22" ht="44.25" customHeight="1" thickBot="1" x14ac:dyDescent="0.3">
      <c r="B2" s="135" t="s">
        <v>3</v>
      </c>
      <c r="C2" s="136" t="s">
        <v>60</v>
      </c>
      <c r="D2" s="137" t="s">
        <v>42</v>
      </c>
      <c r="E2" s="137" t="s">
        <v>29</v>
      </c>
      <c r="F2" s="137" t="s">
        <v>61</v>
      </c>
      <c r="G2" s="137" t="s">
        <v>66</v>
      </c>
      <c r="H2" s="137" t="s">
        <v>62</v>
      </c>
      <c r="I2" s="137" t="s">
        <v>63</v>
      </c>
      <c r="J2" s="137" t="s">
        <v>64</v>
      </c>
      <c r="K2" s="137" t="s">
        <v>65</v>
      </c>
      <c r="L2" s="137" t="s">
        <v>58</v>
      </c>
      <c r="M2" s="137" t="s">
        <v>20</v>
      </c>
      <c r="N2" s="137" t="s">
        <v>46</v>
      </c>
      <c r="O2" s="137" t="s">
        <v>47</v>
      </c>
      <c r="P2" s="137" t="s">
        <v>28</v>
      </c>
      <c r="Q2" s="137" t="s">
        <v>21</v>
      </c>
      <c r="R2" s="137" t="s">
        <v>22</v>
      </c>
      <c r="S2" s="138" t="s">
        <v>23</v>
      </c>
    </row>
    <row r="3" spans="2:22" ht="15.75" thickBot="1" x14ac:dyDescent="0.3">
      <c r="B3" s="89">
        <f>'Dados de entrada'!B4</f>
        <v>44593</v>
      </c>
      <c r="C3" s="129">
        <f>'Dados de entrada'!C4*((Aliquotas!C20)+(Aliquotas!D20))</f>
        <v>945.16204398000002</v>
      </c>
      <c r="D3" s="121">
        <f>'Dados de entrada'!D4*(Aliquotas!F20+Aliquotas!E20)</f>
        <v>12664.492592019998</v>
      </c>
      <c r="E3" s="121">
        <f>IF('Dados de entrada'!E4&gt;=$V$3,'Dados de entrada'!E4*Aliquotas!G20,$V$3*Aliquotas!G20)</f>
        <v>1935.0934</v>
      </c>
      <c r="F3" s="121">
        <f>IF('Dados de entrada'!F4&gt;=$V$4,'Dados de entrada'!F4*Aliquotas!H20,$V$4*Aliquotas!H20)</f>
        <v>6142.2805199999993</v>
      </c>
      <c r="G3" s="121">
        <f>IF(('Dados de entrada'!E4-$V$3)&gt;($V$3*0.05),'Dados de entrada'!E4-$V$3,0)*2*Aliquotas!G20</f>
        <v>857.58679999999993</v>
      </c>
      <c r="H3" s="121">
        <f>IF(('Dados de entrada'!F4-$V$4)&gt;($V$4*0.05),'Dados de entrada'!F4-$V$4,0)*2*Aliquotas!H20</f>
        <v>8937.5610399999987</v>
      </c>
      <c r="I3" s="121">
        <f>'Dados de entrada'!G4*Aliquotas!I20</f>
        <v>239.25209536</v>
      </c>
      <c r="J3" s="121">
        <f>IF('Dados de entrada'!H4&gt;MAX('Dados de entrada'!E4,'Tarifa Azul Atual'!$V$3),('Dados de entrada'!H4-MAX('Dados de entrada'!E4,'Tarifa Azul Atual'!$V$3))*Aliquotas!J20,0)</f>
        <v>0</v>
      </c>
      <c r="K3" s="121">
        <f>IF('Dados de entrada'!I4&gt;MAX('Dados de entrada'!F4,'Tarifa Azul Atual'!$V$4),('Dados de entrada'!I4-MAX('Dados de entrada'!F4,'Tarifa Azul Atual'!$V$4))*Aliquotas!J20,0)</f>
        <v>0</v>
      </c>
      <c r="L3" s="121">
        <f>'Dados de entrada'!J4</f>
        <v>5413.79</v>
      </c>
      <c r="M3" s="121">
        <f>SUM(C3:L3)</f>
        <v>37135.218491359992</v>
      </c>
      <c r="N3" s="121">
        <f>'Dados de entrada'!M4</f>
        <v>0</v>
      </c>
      <c r="O3" s="121">
        <f>'Tarifa Verde Futuro'!L3</f>
        <v>0</v>
      </c>
      <c r="P3" s="121">
        <f>'Dados de entrada'!L4</f>
        <v>-7685.13</v>
      </c>
      <c r="Q3" s="121">
        <f>M3/(1-('Dados de entrada'!N4+'Dados de entrada'!O4)/100)*('Dados de entrada'!N4/100)</f>
        <v>397.73669858190453</v>
      </c>
      <c r="R3" s="122">
        <f>M3/(1-('Dados de entrada'!N4+'Dados de entrada'!O4)/100)*('Dados de entrada'!O4/100)</f>
        <v>1846.9159567813192</v>
      </c>
      <c r="S3" s="126">
        <f t="shared" ref="S3:S14" si="0">SUM(M3:R3)</f>
        <v>31694.741146723216</v>
      </c>
      <c r="U3" s="73" t="s">
        <v>29</v>
      </c>
      <c r="V3" s="74">
        <v>30</v>
      </c>
    </row>
    <row r="4" spans="2:22" ht="15.75" thickBot="1" x14ac:dyDescent="0.3">
      <c r="B4" s="92">
        <f>'Dados de entrada'!B5</f>
        <v>44562</v>
      </c>
      <c r="C4" s="116">
        <f>'Dados de entrada'!C5*((Aliquotas!C21)+(Aliquotas!D21))</f>
        <v>1035.4751186999999</v>
      </c>
      <c r="D4" s="117">
        <f>'Dados de entrada'!D5*(Aliquotas!F21+Aliquotas!E21)</f>
        <v>10585.61387384</v>
      </c>
      <c r="E4" s="117">
        <f>IF('Dados de entrada'!E5&gt;=$V$3,'Dados de entrada'!E5*Aliquotas!G21,$V$3*Aliquotas!G21)</f>
        <v>1976.2655999999997</v>
      </c>
      <c r="F4" s="117">
        <f>IF('Dados de entrada'!F5&gt;=$V$4,'Dados de entrada'!F5*Aliquotas!H21,$V$4*Aliquotas!H21)</f>
        <v>5620.8179200000004</v>
      </c>
      <c r="G4" s="117">
        <f>IF(('Dados de entrada'!E5-$V$3)&gt;($V$3*0.05),'Dados de entrada'!E5-$V$3,0)*Aliquotas!G21</f>
        <v>469.9655999999996</v>
      </c>
      <c r="H4" s="117">
        <f>IF(('Dados de entrada'!F5-$V$4)&gt;($V$4*0.05),'Dados de entrada'!F5-$V$4,0)*2*Aliquotas!H21</f>
        <v>7894.6358399999999</v>
      </c>
      <c r="I4" s="117">
        <f>'Dados de entrada'!G5*Aliquotas!I21</f>
        <v>194.51827374000001</v>
      </c>
      <c r="J4" s="117">
        <f>IF('Dados de entrada'!H5&gt;MAX('Dados de entrada'!E5,'Tarifa Azul Atual'!$V$3),('Dados de entrada'!H5-MAX('Dados de entrada'!E5,'Tarifa Azul Atual'!$V$3))*Aliquotas!J21,0)</f>
        <v>0</v>
      </c>
      <c r="K4" s="117">
        <f>IF('Dados de entrada'!I5&gt;MAX('Dados de entrada'!F5,'Tarifa Azul Atual'!$V$4),('Dados de entrada'!I5-MAX('Dados de entrada'!F5,'Tarifa Azul Atual'!$V$4))*Aliquotas!J21,0)</f>
        <v>182.51191000000009</v>
      </c>
      <c r="L4" s="117">
        <f>'Dados de entrada'!J5</f>
        <v>4592.33</v>
      </c>
      <c r="M4" s="117">
        <f t="shared" ref="M4:M14" si="1">SUM(C4:L4)</f>
        <v>32552.134136280001</v>
      </c>
      <c r="N4" s="117">
        <f>'Dados de entrada'!M5</f>
        <v>0</v>
      </c>
      <c r="O4" s="117">
        <f>'Tarifa Verde Futuro'!L4</f>
        <v>0</v>
      </c>
      <c r="P4" s="117">
        <f>'Dados de entrada'!L5</f>
        <v>-551.03</v>
      </c>
      <c r="Q4" s="117">
        <f>M4/(1-('Dados de entrada'!N5+'Dados de entrada'!O5)/100)*('Dados de entrada'!N5/100)</f>
        <v>188.25978639178769</v>
      </c>
      <c r="R4" s="120">
        <f>M4/(1-('Dados de entrada'!N5+'Dados de entrada'!O5)/100)*('Dados de entrada'!O5/100)</f>
        <v>877.42507586172462</v>
      </c>
      <c r="S4" s="127">
        <f t="shared" si="0"/>
        <v>33066.788998533513</v>
      </c>
      <c r="U4" s="73" t="s">
        <v>30</v>
      </c>
      <c r="V4" s="74">
        <v>50</v>
      </c>
    </row>
    <row r="5" spans="2:22" x14ac:dyDescent="0.25">
      <c r="B5" s="92">
        <f>'Dados de entrada'!B6</f>
        <v>44531</v>
      </c>
      <c r="C5" s="116">
        <f>'Dados de entrada'!C6*((Aliquotas!C22)+(Aliquotas!D22))</f>
        <v>980.81529875999991</v>
      </c>
      <c r="D5" s="117">
        <f>'Dados de entrada'!D6*(Aliquotas!F22+Aliquotas!E22)</f>
        <v>9286.4630713000006</v>
      </c>
      <c r="E5" s="117">
        <f>IF('Dados de entrada'!E6&gt;=$V$3,'Dados de entrada'!E6*Aliquotas!G22,$V$3*Aliquotas!G22)</f>
        <v>1935.0934</v>
      </c>
      <c r="F5" s="117">
        <f>IF('Dados de entrada'!F6&gt;=$V$4,'Dados de entrada'!F6*Aliquotas!H22,$V$4*Aliquotas!H22)</f>
        <v>5291.4731199999997</v>
      </c>
      <c r="G5" s="117">
        <f>IF(('Dados de entrada'!E6-$V$3)&gt;($V$3*0.05),'Dados de entrada'!E6-$V$3,0)*Aliquotas!G22</f>
        <v>428.79339999999996</v>
      </c>
      <c r="H5" s="117">
        <f>IF(('Dados de entrada'!F6-$V$4)&gt;($V$4*0.05),'Dados de entrada'!F6-$V$4,0)*2*Aliquotas!H22</f>
        <v>7235.9462400000002</v>
      </c>
      <c r="I5" s="117">
        <f>'Dados de entrada'!G6*Aliquotas!I22</f>
        <v>95.055077320000009</v>
      </c>
      <c r="J5" s="117">
        <f>IF('Dados de entrada'!H6&gt;MAX('Dados de entrada'!E6,'Tarifa Azul Atual'!$V$3),('Dados de entrada'!H6-MAX('Dados de entrada'!E6,'Tarifa Azul Atual'!$V$3))*Aliquotas!J22,0)</f>
        <v>0</v>
      </c>
      <c r="K5" s="117">
        <f>IF('Dados de entrada'!I6&gt;MAX('Dados de entrada'!F6,'Tarifa Azul Atual'!$V$4),('Dados de entrada'!I6-MAX('Dados de entrada'!F6,'Tarifa Azul Atual'!$V$4))*Aliquotas!J22,0)</f>
        <v>0</v>
      </c>
      <c r="L5" s="117">
        <f>'Dados de entrada'!J6</f>
        <v>4048.55</v>
      </c>
      <c r="M5" s="117">
        <f t="shared" si="1"/>
        <v>29302.189607380002</v>
      </c>
      <c r="N5" s="117">
        <f>'Dados de entrada'!M6</f>
        <v>0</v>
      </c>
      <c r="O5" s="117">
        <f>'Tarifa Verde Futuro'!L5</f>
        <v>1027.04</v>
      </c>
      <c r="P5" s="117">
        <f>'Dados de entrada'!L6</f>
        <v>-1311.61</v>
      </c>
      <c r="Q5" s="117">
        <f>M5/(1-('Dados de entrada'!N6+'Dados de entrada'!O6)/100)*('Dados de entrada'!N6/100)</f>
        <v>424.48577377177514</v>
      </c>
      <c r="R5" s="120">
        <f>M5/(1-('Dados de entrada'!N6+'Dados de entrada'!O6)/100)*('Dados de entrada'!O6/100)</f>
        <v>1951.367437637414</v>
      </c>
      <c r="S5" s="127">
        <f t="shared" si="0"/>
        <v>31393.472818789192</v>
      </c>
    </row>
    <row r="6" spans="2:22" x14ac:dyDescent="0.25">
      <c r="B6" s="92">
        <f>'Dados de entrada'!B7</f>
        <v>44501</v>
      </c>
      <c r="C6" s="116">
        <f>'Dados de entrada'!C7*((Aliquotas!C23)+(Aliquotas!D23))</f>
        <v>802.76162625999996</v>
      </c>
      <c r="D6" s="117">
        <f>'Dados de entrada'!D7*(Aliquotas!F23+Aliquotas!E23)</f>
        <v>12202.740449440002</v>
      </c>
      <c r="E6" s="117">
        <f>IF('Dados de entrada'!E7&gt;=$V$3,'Dados de entrada'!E7*Aliquotas!G23,$V$3*Aliquotas!G23)</f>
        <v>2206.8299200000001</v>
      </c>
      <c r="F6" s="117">
        <f>IF('Dados de entrada'!F7&gt;=$V$4,'Dados de entrada'!F7*Aliquotas!H23,$V$4*Aliquotas!H23)</f>
        <v>5758.0449200000003</v>
      </c>
      <c r="G6" s="117">
        <f>IF(('Dados de entrada'!E7-$V$3)&gt;($V$3*0.05),'Dados de entrada'!E7-$V$3,0)*Aliquotas!G23</f>
        <v>700.52991999999995</v>
      </c>
      <c r="H6" s="117">
        <f>IF(('Dados de entrada'!F7-$V$4)&gt;($V$4*0.05),'Dados de entrada'!F7-$V$4,0)*2*Aliquotas!H23</f>
        <v>8169.0898399999996</v>
      </c>
      <c r="I6" s="117">
        <f>'Dados de entrada'!G7*Aliquotas!I23</f>
        <v>441.01800388000004</v>
      </c>
      <c r="J6" s="117">
        <f>IF('Dados de entrada'!H7&gt;MAX('Dados de entrada'!E7,'Tarifa Azul Atual'!$V$3),('Dados de entrada'!H7-MAX('Dados de entrada'!E7,'Tarifa Azul Atual'!$V$3))*Aliquotas!J23,0)</f>
        <v>0</v>
      </c>
      <c r="K6" s="117">
        <f>IF('Dados de entrada'!I7&gt;MAX('Dados de entrada'!F7,'Tarifa Azul Atual'!$V$4),('Dados de entrada'!I7-MAX('Dados de entrada'!F7,'Tarifa Azul Atual'!$V$4))*Aliquotas!J23,0)</f>
        <v>225.05227999999966</v>
      </c>
      <c r="L6" s="117">
        <f>'Dados de entrada'!J7</f>
        <v>5186.83</v>
      </c>
      <c r="M6" s="117">
        <f t="shared" si="1"/>
        <v>35692.896959580001</v>
      </c>
      <c r="N6" s="117">
        <f>'Dados de entrada'!M7</f>
        <v>0</v>
      </c>
      <c r="O6" s="117">
        <f>'Tarifa Verde Futuro'!L6</f>
        <v>844.87</v>
      </c>
      <c r="P6" s="117">
        <f>'Dados de entrada'!L7</f>
        <v>0</v>
      </c>
      <c r="Q6" s="117">
        <f>M6/(1-('Dados de entrada'!N7+'Dados de entrada'!O7)/100)*('Dados de entrada'!N7/100)</f>
        <v>517.06466946851026</v>
      </c>
      <c r="R6" s="120">
        <f>M6/(1-('Dados de entrada'!N7+'Dados de entrada'!O7)/100)*('Dados de entrada'!O7/100)</f>
        <v>2376.9540029298682</v>
      </c>
      <c r="S6" s="127">
        <f t="shared" si="0"/>
        <v>39431.785631978382</v>
      </c>
    </row>
    <row r="7" spans="2:22" x14ac:dyDescent="0.25">
      <c r="B7" s="92">
        <f>'Dados de entrada'!B8</f>
        <v>44470</v>
      </c>
      <c r="C7" s="116">
        <f>'Dados de entrada'!C8*((Aliquotas!C24)+(Aliquotas!D24))</f>
        <v>770.89267640000003</v>
      </c>
      <c r="D7" s="117">
        <f>'Dados de entrada'!D8*(Aliquotas!F24+Aliquotas!E24)</f>
        <v>13457.99454704</v>
      </c>
      <c r="E7" s="117">
        <f>IF('Dados de entrada'!E8&gt;=$V$3,'Dados de entrada'!E8*Aliquotas!G24,$V$3*Aliquotas!G24)</f>
        <v>1753.9357199999997</v>
      </c>
      <c r="F7" s="117">
        <f>IF('Dados de entrada'!F8&gt;=$V$4,'Dados de entrada'!F8*Aliquotas!H24,$V$4*Aliquotas!H24)</f>
        <v>6147.7695999999996</v>
      </c>
      <c r="G7" s="117">
        <f>IF(('Dados de entrada'!E8-$V$3)&gt;($V$3*0.05),'Dados de entrada'!E8-$V$3,0)*Aliquotas!G24</f>
        <v>247.63571999999976</v>
      </c>
      <c r="H7" s="117">
        <f>IF(('Dados de entrada'!F8-$V$4)&gt;($V$4*0.05),'Dados de entrada'!F8-$V$4,0)*2*Aliquotas!H24</f>
        <v>8948.5391999999993</v>
      </c>
      <c r="I7" s="117">
        <f>'Dados de entrada'!G8*Aliquotas!I24</f>
        <v>724.46578683999996</v>
      </c>
      <c r="J7" s="117">
        <f>IF('Dados de entrada'!H8&gt;MAX('Dados de entrada'!E8,'Tarifa Azul Atual'!$V$3),('Dados de entrada'!H8-MAX('Dados de entrada'!E8,'Tarifa Azul Atual'!$V$3))*Aliquotas!J24,0)</f>
        <v>0</v>
      </c>
      <c r="K7" s="117">
        <f>IF('Dados de entrada'!I8&gt;MAX('Dados de entrada'!F8,'Tarifa Azul Atual'!$V$4),('Dados de entrada'!I8-MAX('Dados de entrada'!F8,'Tarifa Azul Atual'!$V$4))*Aliquotas!J24,0)</f>
        <v>292.29351000000014</v>
      </c>
      <c r="L7" s="117">
        <f>'Dados de entrada'!J8</f>
        <v>5689.05</v>
      </c>
      <c r="M7" s="117">
        <f t="shared" si="1"/>
        <v>38032.576760279997</v>
      </c>
      <c r="N7" s="117">
        <f>'Dados de entrada'!M8</f>
        <v>0</v>
      </c>
      <c r="O7" s="117">
        <f>'Tarifa Verde Futuro'!L7</f>
        <v>0</v>
      </c>
      <c r="P7" s="117">
        <f>'Dados de entrada'!L8</f>
        <v>0</v>
      </c>
      <c r="Q7" s="117">
        <f>M7/(1-('Dados de entrada'!N8+'Dados de entrada'!O8)/100)*('Dados de entrada'!N8/100)</f>
        <v>550.95840928405619</v>
      </c>
      <c r="R7" s="120">
        <f>M7/(1-('Dados de entrada'!N8+'Dados de entrada'!O8)/100)*('Dados de entrada'!O8/100)</f>
        <v>2532.7640307386459</v>
      </c>
      <c r="S7" s="127">
        <f t="shared" si="0"/>
        <v>41116.299200302703</v>
      </c>
    </row>
    <row r="8" spans="2:22" x14ac:dyDescent="0.25">
      <c r="B8" s="92">
        <f>'Dados de entrada'!B9</f>
        <v>44440</v>
      </c>
      <c r="C8" s="116">
        <f>'Dados de entrada'!C9*((Aliquotas!C25)+(Aliquotas!D25))</f>
        <v>846.53625452000006</v>
      </c>
      <c r="D8" s="117">
        <f>'Dados de entrada'!D9*(Aliquotas!F25+Aliquotas!E25)</f>
        <v>14480.7634566</v>
      </c>
      <c r="E8" s="117">
        <f>IF('Dados de entrada'!E9&gt;=$V$3,'Dados de entrada'!E9*Aliquotas!G25,$V$3*Aliquotas!G25)</f>
        <v>1902.1556399999999</v>
      </c>
      <c r="F8" s="117">
        <f>IF('Dados de entrada'!F9&gt;=$V$4,'Dados de entrada'!F9*Aliquotas!H25,$V$4*Aliquotas!H25)</f>
        <v>6208.14948</v>
      </c>
      <c r="G8" s="117">
        <f>IF(('Dados de entrada'!E9-$V$3)&gt;($V$3*0.05),'Dados de entrada'!E9-$V$3,0)*Aliquotas!G25</f>
        <v>395.85564000000005</v>
      </c>
      <c r="H8" s="117">
        <f>IF(('Dados de entrada'!F9-$V$4)&gt;($V$4*0.05),'Dados de entrada'!F9-$V$4,0)*2*Aliquotas!H25</f>
        <v>9069.2989600000001</v>
      </c>
      <c r="I8" s="117">
        <f>'Dados de entrada'!G9*Aliquotas!I25</f>
        <v>761.66573218000008</v>
      </c>
      <c r="J8" s="117">
        <f>IF('Dados de entrada'!H9&gt;MAX('Dados de entrada'!E9,'Tarifa Azul Atual'!$V$3),('Dados de entrada'!H9-MAX('Dados de entrada'!E9,'Tarifa Azul Atual'!$V$3))*Aliquotas!J25,0)</f>
        <v>0</v>
      </c>
      <c r="K8" s="117">
        <f>IF('Dados de entrada'!I9&gt;MAX('Dados de entrada'!F9,'Tarifa Azul Atual'!$V$4),('Dados de entrada'!I9-MAX('Dados de entrada'!F9,'Tarifa Azul Atual'!$V$4))*Aliquotas!J25,0)</f>
        <v>462.45499000000024</v>
      </c>
      <c r="L8" s="117">
        <f>'Dados de entrada'!J9</f>
        <v>6126.07</v>
      </c>
      <c r="M8" s="117">
        <f t="shared" si="1"/>
        <v>40252.9501533</v>
      </c>
      <c r="N8" s="117">
        <f>'Dados de entrada'!M9</f>
        <v>0</v>
      </c>
      <c r="O8" s="117">
        <f>'Tarifa Verde Futuro'!L8</f>
        <v>0</v>
      </c>
      <c r="P8" s="117">
        <f>'Dados de entrada'!L9</f>
        <v>0</v>
      </c>
      <c r="Q8" s="117">
        <f>M8/(1-('Dados de entrada'!N9+'Dados de entrada'!O9)/100)*('Dados de entrada'!N9/100)</f>
        <v>412.91626109032364</v>
      </c>
      <c r="R8" s="120">
        <f>M8/(1-('Dados de entrada'!N9+'Dados de entrada'!O9)/100)*('Dados de entrada'!O9/100)</f>
        <v>1902.820295952316</v>
      </c>
      <c r="S8" s="127">
        <f t="shared" si="0"/>
        <v>42568.686710342641</v>
      </c>
    </row>
    <row r="9" spans="2:22" x14ac:dyDescent="0.25">
      <c r="B9" s="92">
        <f>'Dados de entrada'!B10</f>
        <v>44409</v>
      </c>
      <c r="C9" s="116">
        <f>'Dados de entrada'!C10*((Aliquotas!C26)+(Aliquotas!D26))</f>
        <v>836.34321072287992</v>
      </c>
      <c r="D9" s="117">
        <f>'Dados de entrada'!D10*(Aliquotas!F26+Aliquotas!E26)</f>
        <v>13992.834545778</v>
      </c>
      <c r="E9" s="117">
        <f>IF('Dados de entrada'!E10&gt;=$V$3,'Dados de entrada'!E10*Aliquotas!G26,$V$3*Aliquotas!G26)</f>
        <v>1617.6623537534399</v>
      </c>
      <c r="F9" s="117">
        <f>IF('Dados de entrada'!F10&gt;=$V$4,'Dados de entrada'!F10*Aliquotas!H26,$V$4*Aliquotas!H26)</f>
        <v>5525.1002200188805</v>
      </c>
      <c r="G9" s="117">
        <f>IF(('Dados de entrada'!E10-$V$3)&gt;($V$3*0.05),'Dados de entrada'!E10-$V$3,0)*Aliquotas!G26</f>
        <v>167.1042890534398</v>
      </c>
      <c r="H9" s="117">
        <f>IF(('Dados de entrada'!F10-$V$4)&gt;($V$4*0.05),'Dados de entrada'!F10-$V$4,0)*2*Aliquotas!H26</f>
        <v>7829.3939880377611</v>
      </c>
      <c r="I9" s="117">
        <f>'Dados de entrada'!G10*Aliquotas!I26</f>
        <v>863.36463916517994</v>
      </c>
      <c r="J9" s="117">
        <f>IF('Dados de entrada'!H10&gt;MAX('Dados de entrada'!E10,'Tarifa Azul Atual'!$V$3),('Dados de entrada'!H10-MAX('Dados de entrada'!E10,'Tarifa Azul Atual'!$V$3))*Aliquotas!J26,0)</f>
        <v>0</v>
      </c>
      <c r="K9" s="117">
        <f>IF('Dados de entrada'!I10&gt;MAX('Dados de entrada'!F10,'Tarifa Azul Atual'!$V$4),('Dados de entrada'!I10-MAX('Dados de entrada'!F10,'Tarifa Azul Atual'!$V$4))*Aliquotas!J26,0)</f>
        <v>373.71017262556029</v>
      </c>
      <c r="L9" s="117">
        <f>'Dados de entrada'!J10</f>
        <v>3979.28</v>
      </c>
      <c r="M9" s="117">
        <f t="shared" si="1"/>
        <v>35184.793419155147</v>
      </c>
      <c r="N9" s="117">
        <f>'Dados de entrada'!M10</f>
        <v>0</v>
      </c>
      <c r="O9" s="117">
        <f>'Tarifa Verde Futuro'!L9</f>
        <v>0</v>
      </c>
      <c r="P9" s="117">
        <f>'Dados de entrada'!L10</f>
        <v>0</v>
      </c>
      <c r="Q9" s="117">
        <f>M9/(1-('Dados de entrada'!N10+'Dados de entrada'!O10)/100)*('Dados de entrada'!N10/100)</f>
        <v>416.45468858245056</v>
      </c>
      <c r="R9" s="120">
        <f>M9/(1-('Dados de entrada'!N10+'Dados de entrada'!O10)/100)*('Dados de entrada'!O10/100)</f>
        <v>1917.1923050957862</v>
      </c>
      <c r="S9" s="127">
        <f t="shared" si="0"/>
        <v>37518.440412833384</v>
      </c>
    </row>
    <row r="10" spans="2:22" x14ac:dyDescent="0.25">
      <c r="B10" s="92">
        <f>'Dados de entrada'!B11</f>
        <v>44378</v>
      </c>
      <c r="C10" s="116">
        <f>'Dados de entrada'!C11*((Aliquotas!C27)+(Aliquotas!D27))</f>
        <v>806.11581330000001</v>
      </c>
      <c r="D10" s="117">
        <f>'Dados de entrada'!D11*(Aliquotas!F27+Aliquotas!E27)</f>
        <v>13982.409801399999</v>
      </c>
      <c r="E10" s="117">
        <f>IF('Dados de entrada'!E11&gt;=$V$3,'Dados de entrada'!E11*Aliquotas!G27,$V$3*Aliquotas!G27)</f>
        <v>1325.3479599999998</v>
      </c>
      <c r="F10" s="117">
        <f>IF('Dados de entrada'!F11&gt;=$V$4,'Dados de entrada'!F11*Aliquotas!H27,$V$4*Aliquotas!H27)</f>
        <v>5091.6095999999998</v>
      </c>
      <c r="G10" s="117">
        <f>IF(('Dados de entrada'!E11-$V$3)&gt;($V$3*0.05),'Dados de entrada'!E11-$V$3,0)*Aliquotas!G27</f>
        <v>107.04795999999982</v>
      </c>
      <c r="H10" s="117">
        <f>IF(('Dados de entrada'!F11-$V$4)&gt;($V$4*0.05),'Dados de entrada'!F11-$V$4,0)*2*Aliquotas!H27</f>
        <v>7488.2191999999995</v>
      </c>
      <c r="I10" s="117">
        <f>'Dados de entrada'!G11*Aliquotas!I27</f>
        <v>653.28337116</v>
      </c>
      <c r="J10" s="117">
        <f>IF('Dados de entrada'!H11&gt;MAX('Dados de entrada'!E11,'Tarifa Azul Atual'!$V$3),('Dados de entrada'!H11-MAX('Dados de entrada'!E11,'Tarifa Azul Atual'!$V$3))*Aliquotas!J27,0)</f>
        <v>0</v>
      </c>
      <c r="K10" s="117">
        <f>IF('Dados de entrada'!I11&gt;MAX('Dados de entrada'!F11,'Tarifa Azul Atual'!$V$4),('Dados de entrada'!I11-MAX('Dados de entrada'!F11,'Tarifa Azul Atual'!$V$4))*Aliquotas!J27,0)</f>
        <v>158.00784999999999</v>
      </c>
      <c r="L10" s="117">
        <f>'Dados de entrada'!J11</f>
        <v>4051.47</v>
      </c>
      <c r="M10" s="117">
        <f t="shared" si="1"/>
        <v>33663.511555860001</v>
      </c>
      <c r="N10" s="117">
        <f>'Dados de entrada'!M11</f>
        <v>0</v>
      </c>
      <c r="O10" s="117">
        <f>'Tarifa Verde Futuro'!L10</f>
        <v>0</v>
      </c>
      <c r="P10" s="117">
        <f>'Dados de entrada'!L11</f>
        <v>-143.11000000000001</v>
      </c>
      <c r="Q10" s="117">
        <f>M10/(1-('Dados de entrada'!N11+'Dados de entrada'!O11)/100)*('Dados de entrada'!N11/100)</f>
        <v>367.84868345571607</v>
      </c>
      <c r="R10" s="120">
        <f>M10/(1-('Dados de entrada'!N11+'Dados de entrada'!O11)/100)*('Dados de entrada'!O11/100)</f>
        <v>1682.1041738606048</v>
      </c>
      <c r="S10" s="127">
        <f t="shared" si="0"/>
        <v>35570.354413176326</v>
      </c>
    </row>
    <row r="11" spans="2:22" x14ac:dyDescent="0.25">
      <c r="B11" s="92">
        <f>'Dados de entrada'!B12</f>
        <v>44348</v>
      </c>
      <c r="C11" s="116">
        <f>'Dados de entrada'!C12*((Aliquotas!C28)+(Aliquotas!D28))</f>
        <v>841.3310978799999</v>
      </c>
      <c r="D11" s="117">
        <f>'Dados de entrada'!D12*(Aliquotas!F28+Aliquotas!E28)</f>
        <v>8111.2607881800004</v>
      </c>
      <c r="E11" s="117">
        <f>IF('Dados de entrada'!E12&gt;=$V$3,'Dados de entrada'!E12*Aliquotas!G28,$V$3*Aliquotas!G28)</f>
        <v>1445.2286799999997</v>
      </c>
      <c r="F11" s="117">
        <f>IF('Dados de entrada'!F12&gt;=$V$4,'Dados de entrada'!F12*Aliquotas!H28,$V$4*Aliquotas!H28)</f>
        <v>4472.8375999999998</v>
      </c>
      <c r="G11" s="117">
        <f>IF(('Dados de entrada'!E12-$V$3)&gt;($V$3*0.05),'Dados de entrada'!E12-$V$3,0)*Aliquotas!G28</f>
        <v>226.92867999999976</v>
      </c>
      <c r="H11" s="117">
        <f>IF(('Dados de entrada'!F12-$V$4)&gt;($V$4*0.05),'Dados de entrada'!F12-$V$4,0)*2*Aliquotas!H28</f>
        <v>6250.6751999999997</v>
      </c>
      <c r="I11" s="117">
        <f>'Dados de entrada'!G12*Aliquotas!I28</f>
        <v>146.334699</v>
      </c>
      <c r="J11" s="117">
        <f>IF('Dados de entrada'!H12&gt;MAX('Dados de entrada'!E12,'Tarifa Azul Atual'!$V$3),('Dados de entrada'!H12-MAX('Dados de entrada'!E12,'Tarifa Azul Atual'!$V$3))*Aliquotas!J28,0)</f>
        <v>0</v>
      </c>
      <c r="K11" s="117">
        <f>IF('Dados de entrada'!I12&gt;MAX('Dados de entrada'!F12,'Tarifa Azul Atual'!$V$4),('Dados de entrada'!I12-MAX('Dados de entrada'!F12,'Tarifa Azul Atual'!$V$4))*Aliquotas!J28,0)</f>
        <v>64.08710000000039</v>
      </c>
      <c r="L11" s="117">
        <f>'Dados de entrada'!J12</f>
        <v>1592.69</v>
      </c>
      <c r="M11" s="117">
        <f t="shared" si="1"/>
        <v>23151.373845059996</v>
      </c>
      <c r="N11" s="117">
        <f>'Dados de entrada'!M12</f>
        <v>0</v>
      </c>
      <c r="O11" s="117">
        <f>'Tarifa Verde Futuro'!L11</f>
        <v>0</v>
      </c>
      <c r="P11" s="117">
        <f>'Dados de entrada'!L12</f>
        <v>-803.64</v>
      </c>
      <c r="Q11" s="117">
        <f>M11/(1-('Dados de entrada'!N12+'Dados de entrada'!O12)/100)*('Dados de entrada'!N12/100)</f>
        <v>101.99888066983401</v>
      </c>
      <c r="R11" s="120">
        <f>M11/(1-('Dados de entrada'!N12+'Dados de entrada'!O12)/100)*('Dados de entrada'!O12/100)</f>
        <v>467.29719748737904</v>
      </c>
      <c r="S11" s="127">
        <f t="shared" si="0"/>
        <v>22917.029923217211</v>
      </c>
    </row>
    <row r="12" spans="2:22" x14ac:dyDescent="0.25">
      <c r="B12" s="92">
        <f>'Dados de entrada'!B13</f>
        <v>44317</v>
      </c>
      <c r="C12" s="116">
        <f>'Dados de entrada'!C13*((Aliquotas!C29)+(Aliquotas!D29))</f>
        <v>978.00965604999999</v>
      </c>
      <c r="D12" s="117">
        <f>'Dados de entrada'!D13*(Aliquotas!F29+Aliquotas!E29)</f>
        <v>10910.255712259999</v>
      </c>
      <c r="E12" s="117">
        <f>IF('Dados de entrada'!E13&gt;=$V$3,'Dados de entrada'!E13*Aliquotas!G29,$V$3*Aliquotas!G29)</f>
        <v>1691.6501599999999</v>
      </c>
      <c r="F12" s="117">
        <f>IF('Dados de entrada'!F13&gt;=$V$4,'Dados de entrada'!F13*Aliquotas!H29,$V$4*Aliquotas!H29)</f>
        <v>4711.5068000000001</v>
      </c>
      <c r="G12" s="117">
        <f>IF(('Dados de entrada'!E13-$V$3)&gt;($V$3*0.05),'Dados de entrada'!E13-$V$3,0)*Aliquotas!G29</f>
        <v>473.35015999999996</v>
      </c>
      <c r="H12" s="117">
        <f>IF(('Dados de entrada'!F13-$V$4)&gt;($V$4*0.05),'Dados de entrada'!F13-$V$4,0)*2*Aliquotas!H29</f>
        <v>6728.0136000000002</v>
      </c>
      <c r="I12" s="117">
        <f>'Dados de entrada'!G13*Aliquotas!I29</f>
        <v>174.72848147999997</v>
      </c>
      <c r="J12" s="117">
        <f>IF('Dados de entrada'!H13&gt;MAX('Dados de entrada'!E13,'Tarifa Azul Atual'!$V$3),('Dados de entrada'!H13-MAX('Dados de entrada'!E13,'Tarifa Azul Atual'!$V$3))*Aliquotas!J29,0)</f>
        <v>0</v>
      </c>
      <c r="K12" s="117">
        <f>IF('Dados de entrada'!I13&gt;MAX('Dados de entrada'!F13,'Tarifa Azul Atual'!$V$4),('Dados de entrada'!I13-MAX('Dados de entrada'!F13,'Tarifa Azul Atual'!$V$4))*Aliquotas!J29,0)</f>
        <v>116.01975000000019</v>
      </c>
      <c r="L12" s="117">
        <f>'Dados de entrada'!J13</f>
        <v>1417.72</v>
      </c>
      <c r="M12" s="117">
        <f t="shared" si="1"/>
        <v>27201.254319790001</v>
      </c>
      <c r="N12" s="117">
        <f>'Dados de entrada'!M13</f>
        <v>0</v>
      </c>
      <c r="O12" s="117">
        <f>'Tarifa Verde Futuro'!L12</f>
        <v>0</v>
      </c>
      <c r="P12" s="117">
        <f>'Dados de entrada'!L13</f>
        <v>0</v>
      </c>
      <c r="Q12" s="117">
        <f>M12/(1-('Dados de entrada'!N13+'Dados de entrada'!O13)/100)*('Dados de entrada'!N13/100)</f>
        <v>192.35495983212564</v>
      </c>
      <c r="R12" s="120">
        <f>M12/(1-('Dados de entrada'!N13+'Dados de entrada'!O13)/100)*('Dados de entrada'!O13/100)</f>
        <v>893.88481333752509</v>
      </c>
      <c r="S12" s="127">
        <f t="shared" si="0"/>
        <v>28287.494092959652</v>
      </c>
    </row>
    <row r="13" spans="2:22" x14ac:dyDescent="0.25">
      <c r="B13" s="92">
        <f>'Dados de entrada'!B14</f>
        <v>44287</v>
      </c>
      <c r="C13" s="116">
        <f>'Dados de entrada'!C14*((Aliquotas!C30)+(Aliquotas!D30))</f>
        <v>979.13181169999984</v>
      </c>
      <c r="D13" s="117">
        <f>'Dados de entrada'!D14*(Aliquotas!F30+Aliquotas!E30)</f>
        <v>13565.118201499999</v>
      </c>
      <c r="E13" s="117">
        <f>IF('Dados de entrada'!E14&gt;=$V$3,'Dados de entrada'!E14*Aliquotas!G30,$V$3*Aliquotas!G30)</f>
        <v>1698.3101999999997</v>
      </c>
      <c r="F13" s="117">
        <f>IF('Dados de entrada'!F14&gt;=$V$4,'Dados de entrada'!F14*Aliquotas!H30,$V$4*Aliquotas!H30)</f>
        <v>4729.1859999999997</v>
      </c>
      <c r="G13" s="117">
        <f>IF(('Dados de entrada'!E14-$V$3)&gt;($V$3*0.05),'Dados de entrada'!E14-$V$3,0)*Aliquotas!G30</f>
        <v>480.01019999999971</v>
      </c>
      <c r="H13" s="117">
        <f>IF(('Dados de entrada'!F14-$V$4)&gt;($V$4*0.05),'Dados de entrada'!F14-$V$4,0)*2*Aliquotas!H30</f>
        <v>6763.3719999999994</v>
      </c>
      <c r="I13" s="117">
        <f>'Dados de entrada'!G14*Aliquotas!I30</f>
        <v>345.14507495999999</v>
      </c>
      <c r="J13" s="117">
        <f>IF('Dados de entrada'!H14&gt;MAX('Dados de entrada'!E14,'Tarifa Azul Atual'!$V$3),('Dados de entrada'!H14-MAX('Dados de entrada'!E14,'Tarifa Azul Atual'!$V$3))*Aliquotas!J30,0)</f>
        <v>0</v>
      </c>
      <c r="K13" s="117">
        <f>IF('Dados de entrada'!I14&gt;MAX('Dados de entrada'!F14,'Tarifa Azul Atual'!$V$4),('Dados de entrada'!I14-MAX('Dados de entrada'!F14,'Tarifa Azul Atual'!$V$4))*Aliquotas!J30,0)</f>
        <v>152.48309999999964</v>
      </c>
      <c r="L13" s="117">
        <f>'Dados de entrada'!J14</f>
        <v>561.44000000000005</v>
      </c>
      <c r="M13" s="117">
        <f t="shared" si="1"/>
        <v>29274.196588160001</v>
      </c>
      <c r="N13" s="117">
        <f>'Dados de entrada'!M14</f>
        <v>0</v>
      </c>
      <c r="O13" s="117">
        <f>'Tarifa Verde Futuro'!L13</f>
        <v>0</v>
      </c>
      <c r="P13" s="117">
        <f>'Dados de entrada'!L14</f>
        <v>-1531.3700000000001</v>
      </c>
      <c r="Q13" s="117">
        <f>M13/(1-('Dados de entrada'!N14+'Dados de entrada'!O14)/100)*('Dados de entrada'!N14/100)</f>
        <v>238.84804747661929</v>
      </c>
      <c r="R13" s="120">
        <f>M13/(1-('Dados de entrada'!N14+'Dados de entrada'!O14)/100)*('Dados de entrada'!O14/100)</f>
        <v>1108.4999126478997</v>
      </c>
      <c r="S13" s="127">
        <f t="shared" si="0"/>
        <v>29090.174548284522</v>
      </c>
    </row>
    <row r="14" spans="2:22" ht="15.75" thickBot="1" x14ac:dyDescent="0.3">
      <c r="B14" s="113">
        <f>'Dados de entrada'!B15</f>
        <v>44256</v>
      </c>
      <c r="C14" s="118">
        <f>'Dados de entrada'!C15*((Aliquotas!C31)+(Aliquotas!D31))</f>
        <v>1134.1729168699999</v>
      </c>
      <c r="D14" s="119">
        <f>'Dados de entrada'!D15*(Aliquotas!F31+Aliquotas!E31)</f>
        <v>14643.026101689999</v>
      </c>
      <c r="E14" s="119">
        <f>IF('Dados de entrada'!E15&gt;=$V$3,'Dados de entrada'!E15*Aliquotas!G31,$V$3*Aliquotas!G31)</f>
        <v>1698.3101999999997</v>
      </c>
      <c r="F14" s="119">
        <f>IF('Dados de entrada'!F15&gt;=$V$4,'Dados de entrada'!F15*Aliquotas!H31,$V$4*Aliquotas!H31)</f>
        <v>5652.9241999999995</v>
      </c>
      <c r="G14" s="119">
        <f>IF(('Dados de entrada'!E15-$V$3)&gt;($V$3*0.05),'Dados de entrada'!E15-$V$3,0)*Aliquotas!G31</f>
        <v>480.01019999999971</v>
      </c>
      <c r="H14" s="119">
        <f>IF(('Dados de entrada'!F15-$V$4)&gt;($V$4*0.05),'Dados de entrada'!F15-$V$4,0)*2*Aliquotas!H31</f>
        <v>8610.8483999999989</v>
      </c>
      <c r="I14" s="119">
        <f>'Dados de entrada'!G15*Aliquotas!I31</f>
        <v>466.25522916</v>
      </c>
      <c r="J14" s="117">
        <f>IF('Dados de entrada'!H15&gt;MAX('Dados de entrada'!E15,'Tarifa Azul Atual'!$V$3),('Dados de entrada'!H15-MAX('Dados de entrada'!E15,'Tarifa Azul Atual'!$V$3))*Aliquotas!J31,0)</f>
        <v>0</v>
      </c>
      <c r="K14" s="117">
        <f>IF('Dados de entrada'!I15&gt;MAX('Dados de entrada'!F15,'Tarifa Azul Atual'!$V$4),('Dados de entrada'!I15-MAX('Dados de entrada'!F15,'Tarifa Azul Atual'!$V$4))*Aliquotas!J31,0)</f>
        <v>199.99594999999979</v>
      </c>
      <c r="L14" s="119">
        <f>'Dados de entrada'!J15</f>
        <v>608.14</v>
      </c>
      <c r="M14" s="119">
        <f t="shared" si="1"/>
        <v>33493.683197719991</v>
      </c>
      <c r="N14" s="119">
        <f>'Dados de entrada'!M15</f>
        <v>0</v>
      </c>
      <c r="O14" s="119">
        <f>'Tarifa Verde Futuro'!L14</f>
        <v>0</v>
      </c>
      <c r="P14" s="119">
        <f>'Dados de entrada'!L15</f>
        <v>0</v>
      </c>
      <c r="Q14" s="119">
        <f>M14/(1-('Dados de entrada'!N15+'Dados de entrada'!O15)/100)*('Dados de entrada'!N15/100)</f>
        <v>385.06682833231412</v>
      </c>
      <c r="R14" s="123">
        <f>M14/(1-('Dados de entrada'!N15+'Dados de entrada'!O15)/100)*('Dados de entrada'!O15/100)</f>
        <v>1775.5859306434486</v>
      </c>
      <c r="S14" s="128">
        <f t="shared" si="0"/>
        <v>35654.335956695759</v>
      </c>
    </row>
    <row r="15" spans="2:22" ht="30.75" customHeight="1" thickBot="1" x14ac:dyDescent="0.3">
      <c r="B15" s="134" t="s">
        <v>25</v>
      </c>
      <c r="C15" s="130">
        <f t="shared" ref="C15:L15" si="2">SUM(C3:C14)</f>
        <v>10956.747525142879</v>
      </c>
      <c r="D15" s="124">
        <f t="shared" si="2"/>
        <v>147882.97314104799</v>
      </c>
      <c r="E15" s="124">
        <f t="shared" si="2"/>
        <v>21185.88323375344</v>
      </c>
      <c r="F15" s="124">
        <f t="shared" si="2"/>
        <v>65351.699980018886</v>
      </c>
      <c r="G15" s="124">
        <f t="shared" si="2"/>
        <v>5034.8185690534383</v>
      </c>
      <c r="H15" s="124">
        <f t="shared" si="2"/>
        <v>93925.593508037768</v>
      </c>
      <c r="I15" s="124">
        <f t="shared" si="2"/>
        <v>5105.0864642451797</v>
      </c>
      <c r="J15" s="124">
        <f t="shared" si="2"/>
        <v>0</v>
      </c>
      <c r="K15" s="124">
        <f t="shared" si="2"/>
        <v>2226.6166126255603</v>
      </c>
      <c r="L15" s="125">
        <f t="shared" si="2"/>
        <v>43267.360000000008</v>
      </c>
      <c r="M15" s="125">
        <f>SUM(M3:M14)</f>
        <v>394936.77903392515</v>
      </c>
      <c r="N15" s="125">
        <f t="shared" ref="N15:S15" si="3">SUM(N3:N14)</f>
        <v>0</v>
      </c>
      <c r="O15" s="125">
        <f t="shared" si="3"/>
        <v>1871.9099999999999</v>
      </c>
      <c r="P15" s="125"/>
      <c r="Q15" s="125">
        <f t="shared" si="3"/>
        <v>4193.9936869374169</v>
      </c>
      <c r="R15" s="125">
        <f t="shared" si="3"/>
        <v>19332.811132973933</v>
      </c>
      <c r="S15" s="133">
        <f t="shared" si="3"/>
        <v>408309.60385383654</v>
      </c>
    </row>
    <row r="19" spans="12:13" x14ac:dyDescent="0.25">
      <c r="L19" s="8"/>
      <c r="M19" s="8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showGridLines="0" topLeftCell="F1" zoomScale="90" zoomScaleNormal="90" workbookViewId="0">
      <selection activeCell="R17" sqref="R17"/>
    </sheetView>
  </sheetViews>
  <sheetFormatPr defaultRowHeight="15" x14ac:dyDescent="0.25"/>
  <cols>
    <col min="2" max="2" width="8.5703125" customWidth="1"/>
    <col min="3" max="3" width="14.28515625" customWidth="1"/>
    <col min="4" max="4" width="15.7109375" customWidth="1"/>
    <col min="5" max="6" width="14.28515625" customWidth="1"/>
    <col min="7" max="8" width="14.7109375" customWidth="1"/>
    <col min="9" max="9" width="14.42578125" customWidth="1"/>
    <col min="10" max="10" width="14.28515625" customWidth="1"/>
    <col min="11" max="11" width="12.7109375" bestFit="1" customWidth="1"/>
    <col min="12" max="12" width="14.42578125" customWidth="1"/>
    <col min="13" max="13" width="15.7109375" customWidth="1"/>
    <col min="14" max="15" width="14.28515625" customWidth="1"/>
    <col min="16" max="16" width="14.5703125" customWidth="1"/>
    <col min="17" max="18" width="14.28515625" customWidth="1"/>
    <col min="19" max="19" width="15.85546875" customWidth="1"/>
    <col min="21" max="21" width="29.140625" customWidth="1"/>
  </cols>
  <sheetData>
    <row r="1" spans="2:22" ht="44.25" customHeight="1" thickBot="1" x14ac:dyDescent="0.3"/>
    <row r="2" spans="2:22" ht="45" customHeight="1" thickBot="1" x14ac:dyDescent="0.3">
      <c r="B2" s="135" t="s">
        <v>3</v>
      </c>
      <c r="C2" s="136" t="s">
        <v>67</v>
      </c>
      <c r="D2" s="137" t="s">
        <v>68</v>
      </c>
      <c r="E2" s="137" t="s">
        <v>29</v>
      </c>
      <c r="F2" s="137" t="s">
        <v>61</v>
      </c>
      <c r="G2" s="137" t="s">
        <v>66</v>
      </c>
      <c r="H2" s="137" t="s">
        <v>62</v>
      </c>
      <c r="I2" s="137" t="s">
        <v>63</v>
      </c>
      <c r="J2" s="137" t="s">
        <v>64</v>
      </c>
      <c r="K2" s="145" t="s">
        <v>65</v>
      </c>
      <c r="L2" s="137" t="s">
        <v>58</v>
      </c>
      <c r="M2" s="137" t="s">
        <v>69</v>
      </c>
      <c r="N2" s="137" t="s">
        <v>46</v>
      </c>
      <c r="O2" s="137" t="s">
        <v>47</v>
      </c>
      <c r="P2" s="137" t="s">
        <v>28</v>
      </c>
      <c r="Q2" s="137" t="s">
        <v>21</v>
      </c>
      <c r="R2" s="137" t="s">
        <v>22</v>
      </c>
      <c r="S2" s="138" t="s">
        <v>23</v>
      </c>
    </row>
    <row r="3" spans="2:22" ht="16.5" thickBot="1" x14ac:dyDescent="0.3">
      <c r="B3" s="89">
        <f>'Dados de entrada'!B4</f>
        <v>44593</v>
      </c>
      <c r="C3" s="90">
        <f>'Dados de entrada'!C4*((Aliquotas!$C$32)+(Aliquotas!$D$32))</f>
        <v>945.16204398000002</v>
      </c>
      <c r="D3" s="91">
        <f>'Dados de entrada'!D4*(Aliquotas!$F$32+Aliquotas!$E$32)</f>
        <v>12664.492592019998</v>
      </c>
      <c r="E3" s="91">
        <f>IF('Dados de entrada'!E4&gt;=($V$3),'Dados de entrada'!E4*Aliquotas!$G$32,$V$3*Aliquotas!$G$32)</f>
        <v>1935.0934</v>
      </c>
      <c r="F3" s="91">
        <f>IF(('Dados de entrada'!F4)&gt;=($V$4),'Dados de entrada'!F4*Aliquotas!$H$32,$V$4*Aliquotas!$H$32)</f>
        <v>6142.2805199999993</v>
      </c>
      <c r="G3" s="91">
        <f>IF(('Dados de entrada'!E4-$V$3)&gt;($V$3*0.05),('Dados de entrada'!E4)-$V$3,0)*2*Aliquotas!$G$32</f>
        <v>0</v>
      </c>
      <c r="H3" s="91">
        <f>IF(('Dados de entrada'!F4-$V$4)&gt;($V$4*0.05),('Dados de entrada'!F4)-$V$4,0)*2*Aliquotas!$H$32</f>
        <v>0</v>
      </c>
      <c r="I3" s="91">
        <f>'Dados de entrada'!G4*Aliquotas!$I$32</f>
        <v>239.25209536</v>
      </c>
      <c r="J3" s="91">
        <f>IF('Dados de entrada'!H4&gt;MAX('Dados de entrada'!E4,$V$3),('Dados de entrada'!H4-MAX('Dados de entrada'!E4,$V$3))*Aliquotas!$J$32,0)</f>
        <v>0</v>
      </c>
      <c r="K3" s="91">
        <f>IF('Dados de entrada'!I4&gt;MAX('Dados de entrada'!F4,$V$4),('Dados de entrada'!I4-MAX('Dados de entrada'!F4,$V$4))*Aliquotas!$J$32,0)</f>
        <v>0</v>
      </c>
      <c r="L3" s="91">
        <f>'Dados de entrada'!J4</f>
        <v>5413.79</v>
      </c>
      <c r="M3" s="91">
        <f>SUM(C3:L3)</f>
        <v>27340.070651359998</v>
      </c>
      <c r="N3" s="91">
        <f>'Dados de entrada'!M4</f>
        <v>0</v>
      </c>
      <c r="O3" s="91">
        <f>'Dados de entrada'!K4</f>
        <v>0</v>
      </c>
      <c r="P3" s="91">
        <f>'Dados de entrada'!L4</f>
        <v>-7685.13</v>
      </c>
      <c r="Q3" s="91">
        <f>M3/(1-('Dados de entrada'!$N$16+'Dados de entrada'!$O$16)/100)*('Dados de entrada'!$N$16/100)</f>
        <v>281.22537482602587</v>
      </c>
      <c r="R3" s="72">
        <f>M3/(1-('Dados de entrada'!$N$16+'Dados de entrada'!$O$16)/100)*('Dados de entrada'!$O$16/100)</f>
        <v>1296.4803055390057</v>
      </c>
      <c r="S3" s="100">
        <f t="shared" ref="S3:S14" si="0">SUM(M3:R3)</f>
        <v>21232.646331725031</v>
      </c>
      <c r="U3" s="131" t="s">
        <v>70</v>
      </c>
      <c r="V3" s="132">
        <v>38</v>
      </c>
    </row>
    <row r="4" spans="2:22" ht="16.5" thickBot="1" x14ac:dyDescent="0.3">
      <c r="B4" s="92">
        <f>'Dados de entrada'!B5</f>
        <v>44562</v>
      </c>
      <c r="C4" s="93">
        <f>'Dados de entrada'!C5*((Aliquotas!$C$32)+(Aliquotas!$D$32))</f>
        <v>1035.4751186999999</v>
      </c>
      <c r="D4" s="94">
        <f>'Dados de entrada'!D5*(Aliquotas!$F$32+Aliquotas!$E$32)</f>
        <v>10585.61387384</v>
      </c>
      <c r="E4" s="94">
        <f>IF('Dados de entrada'!E5&gt;=($V$3),'Dados de entrada'!E5*Aliquotas!$G$32,$V$3*Aliquotas!$G$32)</f>
        <v>1976.2655999999997</v>
      </c>
      <c r="F4" s="94">
        <f>IF(('Dados de entrada'!F5)&gt;=($V$4),'Dados de entrada'!F5*Aliquotas!$H$32,$V$4*Aliquotas!$H$32)</f>
        <v>6024.5999999999995</v>
      </c>
      <c r="G4" s="94">
        <f>IF(('Dados de entrada'!E5-$V$3)&gt;($V$3*0.05),('Dados de entrada'!E5)-$V$3,0)*2*Aliquotas!$G$32</f>
        <v>0</v>
      </c>
      <c r="H4" s="94">
        <f>IF(('Dados de entrada'!F5-$V$4)&gt;($V$4*0.05),('Dados de entrada'!F5)-$V$4,0)*2*Aliquotas!$H$32</f>
        <v>0</v>
      </c>
      <c r="I4" s="94">
        <f>'Dados de entrada'!G5*Aliquotas!$I$32</f>
        <v>194.51827374000001</v>
      </c>
      <c r="J4" s="94">
        <f>IF('Dados de entrada'!H5&gt;MAX('Dados de entrada'!E5,$V$3),('Dados de entrada'!H5-MAX('Dados de entrada'!E5,$V$3))*Aliquotas!$J$32,0)</f>
        <v>0</v>
      </c>
      <c r="K4" s="94">
        <f>IF('Dados de entrada'!I5&gt;MAX('Dados de entrada'!F5,$V$4),('Dados de entrada'!I5-MAX('Dados de entrada'!F5,$V$4))*Aliquotas!$J$32,0)</f>
        <v>0</v>
      </c>
      <c r="L4" s="94">
        <f>'Dados de entrada'!J5</f>
        <v>4592.33</v>
      </c>
      <c r="M4" s="94">
        <f t="shared" ref="M4:M14" si="1">SUM(C4:L4)</f>
        <v>24408.802866279999</v>
      </c>
      <c r="N4" s="94">
        <f>'Dados de entrada'!M5</f>
        <v>0</v>
      </c>
      <c r="O4" s="94">
        <f>'Dados de entrada'!K5</f>
        <v>0</v>
      </c>
      <c r="P4" s="94">
        <f>'Dados de entrada'!L5</f>
        <v>-551.03</v>
      </c>
      <c r="Q4" s="94">
        <f>M4/(1-('Dados de entrada'!$N$16+'Dados de entrada'!$O$16)/100)*('Dados de entrada'!$N$16/100)</f>
        <v>251.0737745581761</v>
      </c>
      <c r="R4" s="95">
        <f>M4/(1-('Dados de entrada'!$N$16+'Dados de entrada'!$O$16)/100)*('Dados de entrada'!$O$16/100)</f>
        <v>1157.4780695141285</v>
      </c>
      <c r="S4" s="100">
        <f t="shared" si="0"/>
        <v>25266.324710352303</v>
      </c>
      <c r="U4" s="131" t="s">
        <v>71</v>
      </c>
      <c r="V4" s="132">
        <v>180</v>
      </c>
    </row>
    <row r="5" spans="2:22" x14ac:dyDescent="0.25">
      <c r="B5" s="92">
        <f>'Dados de entrada'!B6</f>
        <v>44531</v>
      </c>
      <c r="C5" s="93">
        <f>'Dados de entrada'!C6*((Aliquotas!$C$32)+(Aliquotas!$D$32))</f>
        <v>980.81529875999991</v>
      </c>
      <c r="D5" s="94">
        <f>'Dados de entrada'!D6*(Aliquotas!$F$32+Aliquotas!$E$32)</f>
        <v>9286.4630713000006</v>
      </c>
      <c r="E5" s="94">
        <f>IF('Dados de entrada'!E6&gt;=($V$3),'Dados de entrada'!E6*Aliquotas!$G$32,$V$3*Aliquotas!$G$32)</f>
        <v>1935.0934</v>
      </c>
      <c r="F5" s="94">
        <f>IF(('Dados de entrada'!F6)&gt;=($V$4),'Dados de entrada'!F6*Aliquotas!$H$32,$V$4*Aliquotas!$H$32)</f>
        <v>6024.5999999999995</v>
      </c>
      <c r="G5" s="94">
        <f>IF(('Dados de entrada'!E6-$V$3)&gt;($V$3*0.05),('Dados de entrada'!E6)-$V$3,0)*2*Aliquotas!$G$32</f>
        <v>0</v>
      </c>
      <c r="H5" s="94">
        <f>IF(('Dados de entrada'!F6-$V$4)&gt;($V$4*0.05),('Dados de entrada'!F6)-$V$4,0)*2*Aliquotas!$H$32</f>
        <v>0</v>
      </c>
      <c r="I5" s="94">
        <f>'Dados de entrada'!G6*Aliquotas!$I$32</f>
        <v>95.055077320000009</v>
      </c>
      <c r="J5" s="94">
        <f>IF('Dados de entrada'!H6&gt;MAX('Dados de entrada'!E6,$V$3),('Dados de entrada'!H6-MAX('Dados de entrada'!E6,$V$3))*Aliquotas!$J$32,0)</f>
        <v>0</v>
      </c>
      <c r="K5" s="94">
        <f>IF('Dados de entrada'!I6&gt;MAX('Dados de entrada'!F6,$V$4),('Dados de entrada'!I6-MAX('Dados de entrada'!F6,$V$4))*Aliquotas!$J$32,0)</f>
        <v>0</v>
      </c>
      <c r="L5" s="94">
        <f>'Dados de entrada'!J6</f>
        <v>4048.55</v>
      </c>
      <c r="M5" s="94">
        <f t="shared" si="1"/>
        <v>22370.576847380002</v>
      </c>
      <c r="N5" s="94">
        <f>'Dados de entrada'!M6</f>
        <v>0</v>
      </c>
      <c r="O5" s="94">
        <f>'Dados de entrada'!K6</f>
        <v>1027.04</v>
      </c>
      <c r="P5" s="94">
        <f>'Dados de entrada'!L6</f>
        <v>-1311.61</v>
      </c>
      <c r="Q5" s="94">
        <f>M5/(1-('Dados de entrada'!$N$16+'Dados de entrada'!$O$16)/100)*('Dados de entrada'!$N$16/100)</f>
        <v>230.10817854875989</v>
      </c>
      <c r="R5" s="95">
        <f>M5/(1-('Dados de entrada'!$N$16+'Dados de entrada'!$O$16)/100)*('Dados de entrada'!$O$16/100)</f>
        <v>1060.8243364115926</v>
      </c>
      <c r="S5" s="100">
        <f t="shared" si="0"/>
        <v>23376.939362340352</v>
      </c>
    </row>
    <row r="6" spans="2:22" x14ac:dyDescent="0.25">
      <c r="B6" s="92">
        <f>'Dados de entrada'!B7</f>
        <v>44501</v>
      </c>
      <c r="C6" s="93">
        <f>'Dados de entrada'!C7*((Aliquotas!$C$32)+(Aliquotas!$D$32))</f>
        <v>802.76162625999996</v>
      </c>
      <c r="D6" s="94">
        <f>'Dados de entrada'!D7*(Aliquotas!$F$32+Aliquotas!$E$32)</f>
        <v>12202.740449440002</v>
      </c>
      <c r="E6" s="94">
        <f>IF('Dados de entrada'!E7&gt;=($V$3),'Dados de entrada'!E7*Aliquotas!$G$32,$V$3*Aliquotas!$G$32)</f>
        <v>2206.8299200000001</v>
      </c>
      <c r="F6" s="94">
        <f>IF(('Dados de entrada'!F7)&gt;=($V$4),'Dados de entrada'!F7*Aliquotas!$H$32,$V$4*Aliquotas!$H$32)</f>
        <v>6024.5999999999995</v>
      </c>
      <c r="G6" s="94">
        <f>IF(('Dados de entrada'!E7-$V$3)&gt;($V$3*0.05),('Dados de entrada'!E7)-$V$3,0)*2*Aliquotas!$G$32</f>
        <v>597.69983999999988</v>
      </c>
      <c r="H6" s="94">
        <f>IF(('Dados de entrada'!F7-$V$4)&gt;($V$4*0.05),('Dados de entrada'!F7)-$V$4,0)*2*Aliquotas!$H$32</f>
        <v>0</v>
      </c>
      <c r="I6" s="94">
        <f>'Dados de entrada'!G7*Aliquotas!$I$32</f>
        <v>441.01800388000004</v>
      </c>
      <c r="J6" s="94">
        <f>IF('Dados de entrada'!H7&gt;MAX('Dados de entrada'!E7,$V$3),('Dados de entrada'!H7-MAX('Dados de entrada'!E7,$V$3))*Aliquotas!$J$32,0)</f>
        <v>0</v>
      </c>
      <c r="K6" s="94">
        <f>IF('Dados de entrada'!I7&gt;MAX('Dados de entrada'!F7,$V$4),('Dados de entrada'!I7-MAX('Dados de entrada'!F7,$V$4))*Aliquotas!$J$32,0)</f>
        <v>0</v>
      </c>
      <c r="L6" s="94">
        <f>'Dados de entrada'!J7</f>
        <v>5186.83</v>
      </c>
      <c r="M6" s="94">
        <f t="shared" si="1"/>
        <v>27462.479839580003</v>
      </c>
      <c r="N6" s="94">
        <f>'Dados de entrada'!M7</f>
        <v>0</v>
      </c>
      <c r="O6" s="94">
        <f>'Dados de entrada'!K7</f>
        <v>844.87</v>
      </c>
      <c r="P6" s="94">
        <f>'Dados de entrada'!L7</f>
        <v>0</v>
      </c>
      <c r="Q6" s="94">
        <f>M6/(1-('Dados de entrada'!$N$16+'Dados de entrada'!$O$16)/100)*('Dados de entrada'!$N$16/100)</f>
        <v>282.4844999496695</v>
      </c>
      <c r="R6" s="95">
        <f>M6/(1-('Dados de entrada'!$N$16+'Dados de entrada'!$O$16)/100)*('Dados de entrada'!$O$16/100)</f>
        <v>1302.2850126214416</v>
      </c>
      <c r="S6" s="100">
        <f t="shared" si="0"/>
        <v>29892.119352151116</v>
      </c>
    </row>
    <row r="7" spans="2:22" x14ac:dyDescent="0.25">
      <c r="B7" s="92">
        <f>'Dados de entrada'!B8</f>
        <v>44470</v>
      </c>
      <c r="C7" s="93">
        <f>'Dados de entrada'!C8*((Aliquotas!$C$32)+(Aliquotas!$D$32))</f>
        <v>770.89267640000003</v>
      </c>
      <c r="D7" s="94">
        <f>'Dados de entrada'!D8*(Aliquotas!$F$32+Aliquotas!$E$32)</f>
        <v>13457.99454704</v>
      </c>
      <c r="E7" s="94">
        <f>IF('Dados de entrada'!E8&gt;=($V$3),'Dados de entrada'!E8*Aliquotas!$G$32,$V$3*Aliquotas!$G$32)</f>
        <v>1907.98</v>
      </c>
      <c r="F7" s="94">
        <f>IF(('Dados de entrada'!F8)&gt;=($V$4),'Dados de entrada'!F8*Aliquotas!$H$32,$V$4*Aliquotas!$H$32)</f>
        <v>6147.7695999999996</v>
      </c>
      <c r="G7" s="94">
        <f>IF(('Dados de entrada'!E8-$V$3)&gt;($V$3*0.05),('Dados de entrada'!E8)-$V$3,0)*2*Aliquotas!$G$32</f>
        <v>0</v>
      </c>
      <c r="H7" s="94">
        <f>IF(('Dados de entrada'!F8-$V$4)&gt;($V$4*0.05),('Dados de entrada'!F8)-$V$4,0)*2*Aliquotas!$H$32</f>
        <v>0</v>
      </c>
      <c r="I7" s="94">
        <f>'Dados de entrada'!G8*Aliquotas!$I$32</f>
        <v>724.46578683999996</v>
      </c>
      <c r="J7" s="94">
        <f>IF('Dados de entrada'!H8&gt;MAX('Dados de entrada'!E8,$V$3),('Dados de entrada'!H8-MAX('Dados de entrada'!E8,$V$3))*Aliquotas!$J$32,0)</f>
        <v>0</v>
      </c>
      <c r="K7" s="94">
        <f>IF('Dados de entrada'!I8&gt;MAX('Dados de entrada'!F8,$V$4),('Dados de entrada'!I8-MAX('Dados de entrada'!F8,$V$4))*Aliquotas!$J$32,0)</f>
        <v>292.29351000000014</v>
      </c>
      <c r="L7" s="94">
        <f>'Dados de entrada'!J8</f>
        <v>5689.05</v>
      </c>
      <c r="M7" s="94">
        <f t="shared" si="1"/>
        <v>28990.446120279998</v>
      </c>
      <c r="N7" s="94">
        <f>'Dados de entrada'!M8</f>
        <v>0</v>
      </c>
      <c r="O7" s="94">
        <f>'Dados de entrada'!K8</f>
        <v>0</v>
      </c>
      <c r="P7" s="94">
        <f>'Dados de entrada'!L8</f>
        <v>0</v>
      </c>
      <c r="Q7" s="94">
        <f>M7/(1-('Dados de entrada'!$N$16+'Dados de entrada'!$O$16)/100)*('Dados de entrada'!$N$16/100)</f>
        <v>298.20146335810205</v>
      </c>
      <c r="R7" s="95">
        <f>M7/(1-('Dados de entrada'!$N$16+'Dados de entrada'!$O$16)/100)*('Dados de entrada'!$O$16/100)</f>
        <v>1374.7419647528616</v>
      </c>
      <c r="S7" s="100">
        <f t="shared" si="0"/>
        <v>30663.389548390962</v>
      </c>
    </row>
    <row r="8" spans="2:22" x14ac:dyDescent="0.25">
      <c r="B8" s="92">
        <f>'Dados de entrada'!B9</f>
        <v>44440</v>
      </c>
      <c r="C8" s="93">
        <f>'Dados de entrada'!C9*((Aliquotas!$C$32)+(Aliquotas!$D$32))</f>
        <v>846.53625452000006</v>
      </c>
      <c r="D8" s="94">
        <f>'Dados de entrada'!D9*(Aliquotas!$F$32+Aliquotas!$E$32)</f>
        <v>14480.7634566</v>
      </c>
      <c r="E8" s="94">
        <f>IF('Dados de entrada'!E9&gt;=($V$3),'Dados de entrada'!E9*Aliquotas!$G$32,$V$3*Aliquotas!$G$32)</f>
        <v>1907.98</v>
      </c>
      <c r="F8" s="94">
        <f>IF(('Dados de entrada'!F9)&gt;=($V$4),'Dados de entrada'!F9*Aliquotas!$H$32,$V$4*Aliquotas!$H$32)</f>
        <v>6208.14948</v>
      </c>
      <c r="G8" s="94">
        <f>IF(('Dados de entrada'!E9-$V$3)&gt;($V$3*0.05),('Dados de entrada'!E9)-$V$3,0)*2*Aliquotas!$G$32</f>
        <v>0</v>
      </c>
      <c r="H8" s="94">
        <f>IF(('Dados de entrada'!F9-$V$4)&gt;($V$4*0.05),('Dados de entrada'!F9)-$V$4,0)*2*Aliquotas!$H$32</f>
        <v>0</v>
      </c>
      <c r="I8" s="94">
        <f>'Dados de entrada'!G9*Aliquotas!$I$32</f>
        <v>761.66573218000008</v>
      </c>
      <c r="J8" s="94">
        <f>IF('Dados de entrada'!H9&gt;MAX('Dados de entrada'!E9,$V$3),('Dados de entrada'!H9-MAX('Dados de entrada'!E9,$V$3))*Aliquotas!$J$32,0)</f>
        <v>0</v>
      </c>
      <c r="K8" s="94">
        <f>IF('Dados de entrada'!I9&gt;MAX('Dados de entrada'!F9,$V$4),('Dados de entrada'!I9-MAX('Dados de entrada'!F9,$V$4))*Aliquotas!$J$32,0)</f>
        <v>462.45499000000024</v>
      </c>
      <c r="L8" s="94">
        <f>'Dados de entrada'!J9</f>
        <v>6126.07</v>
      </c>
      <c r="M8" s="94">
        <f t="shared" si="1"/>
        <v>30793.619913300005</v>
      </c>
      <c r="N8" s="94">
        <f>'Dados de entrada'!M9</f>
        <v>0</v>
      </c>
      <c r="O8" s="94">
        <f>'Dados de entrada'!K9</f>
        <v>0</v>
      </c>
      <c r="P8" s="94">
        <f>'Dados de entrada'!L9</f>
        <v>0</v>
      </c>
      <c r="Q8" s="94">
        <f>M8/(1-('Dados de entrada'!$N$16+'Dados de entrada'!$O$16)/100)*('Dados de entrada'!$N$16/100)</f>
        <v>316.74926567672162</v>
      </c>
      <c r="R8" s="95">
        <f>M8/(1-('Dados de entrada'!$N$16+'Dados de entrada'!$O$16)/100)*('Dados de entrada'!$O$16/100)</f>
        <v>1460.2493996064807</v>
      </c>
      <c r="S8" s="100">
        <f t="shared" si="0"/>
        <v>32570.618578583206</v>
      </c>
    </row>
    <row r="9" spans="2:22" x14ac:dyDescent="0.25">
      <c r="B9" s="92">
        <f>'Dados de entrada'!B10</f>
        <v>44409</v>
      </c>
      <c r="C9" s="93">
        <f>'Dados de entrada'!C10*((Aliquotas!$C$32)+(Aliquotas!$D$32))</f>
        <v>842.92203071999995</v>
      </c>
      <c r="D9" s="94">
        <f>'Dados de entrada'!D10*(Aliquotas!$F$32+Aliquotas!$E$32)</f>
        <v>14057.959090999999</v>
      </c>
      <c r="E9" s="94">
        <f>IF('Dados de entrada'!E10&gt;=($V$3),'Dados de entrada'!E10*Aliquotas!$G$32,$V$3*Aliquotas!$G$32)</f>
        <v>1907.98</v>
      </c>
      <c r="F9" s="94">
        <f>IF(('Dados de entrada'!F10)&gt;=($V$4),'Dados de entrada'!F10*Aliquotas!$H$32,$V$4*Aliquotas!$H$32)</f>
        <v>6024.5999999999995</v>
      </c>
      <c r="G9" s="94">
        <f>IF(('Dados de entrada'!E10-$V$3)&gt;($V$3*0.05),('Dados de entrada'!E10)-$V$3,0)*2*Aliquotas!$G$32</f>
        <v>0</v>
      </c>
      <c r="H9" s="94">
        <f>IF(('Dados de entrada'!F10-$V$4)&gt;($V$4*0.05),('Dados de entrada'!F10)-$V$4,0)*2*Aliquotas!$H$32</f>
        <v>0</v>
      </c>
      <c r="I9" s="94">
        <f>'Dados de entrada'!G10*Aliquotas!$I$32</f>
        <v>873.25411854000004</v>
      </c>
      <c r="J9" s="94">
        <f>IF('Dados de entrada'!H10&gt;MAX('Dados de entrada'!E10,$V$3),('Dados de entrada'!H10-MAX('Dados de entrada'!E10,$V$3))*Aliquotas!$J$32,0)</f>
        <v>0</v>
      </c>
      <c r="K9" s="94">
        <f>IF('Dados de entrada'!I10&gt;MAX('Dados de entrada'!F10,$V$4),('Dados de entrada'!I10-MAX('Dados de entrada'!F10,$V$4))*Aliquotas!$J$32,0)</f>
        <v>105.33009000000065</v>
      </c>
      <c r="L9" s="94">
        <f>'Dados de entrada'!J10</f>
        <v>3979.28</v>
      </c>
      <c r="M9" s="94">
        <f t="shared" si="1"/>
        <v>27791.325330259995</v>
      </c>
      <c r="N9" s="94">
        <f>'Dados de entrada'!M10</f>
        <v>0</v>
      </c>
      <c r="O9" s="94">
        <f>'Dados de entrada'!K10</f>
        <v>0</v>
      </c>
      <c r="P9" s="94">
        <f>'Dados de entrada'!L10</f>
        <v>0</v>
      </c>
      <c r="Q9" s="94">
        <f>M9/(1-('Dados de entrada'!$N$16+'Dados de entrada'!$O$16)/100)*('Dados de entrada'!$N$16/100)</f>
        <v>285.86706971533067</v>
      </c>
      <c r="R9" s="95">
        <f>M9/(1-('Dados de entrada'!$N$16+'Dados de entrada'!$O$16)/100)*('Dados de entrada'!$O$16/100)</f>
        <v>1317.8790360483972</v>
      </c>
      <c r="S9" s="100">
        <f t="shared" si="0"/>
        <v>29395.071436023725</v>
      </c>
    </row>
    <row r="10" spans="2:22" x14ac:dyDescent="0.25">
      <c r="B10" s="92">
        <f>'Dados de entrada'!B11</f>
        <v>44378</v>
      </c>
      <c r="C10" s="93">
        <f>'Dados de entrada'!C11*((Aliquotas!$C$32)+(Aliquotas!$D$32))</f>
        <v>839.98813140000004</v>
      </c>
      <c r="D10" s="94">
        <f>'Dados de entrada'!D11*(Aliquotas!$F$32+Aliquotas!$E$32)</f>
        <v>14325.287020399999</v>
      </c>
      <c r="E10" s="94">
        <f>IF('Dados de entrada'!E11&gt;=($V$3),'Dados de entrada'!E11*Aliquotas!$G$32,$V$3*Aliquotas!$G$32)</f>
        <v>1907.98</v>
      </c>
      <c r="F10" s="94">
        <f>IF(('Dados de entrada'!F11)&gt;=($V$4),'Dados de entrada'!F11*Aliquotas!$H$32,$V$4*Aliquotas!$H$32)</f>
        <v>6323.4201599999997</v>
      </c>
      <c r="G10" s="94">
        <f>IF(('Dados de entrada'!E11-$V$3)&gt;($V$3*0.05),('Dados de entrada'!E11)-$V$3,0)*2*Aliquotas!$G$32</f>
        <v>0</v>
      </c>
      <c r="H10" s="94">
        <f>IF(('Dados de entrada'!F11-$V$4)&gt;($V$4*0.05),('Dados de entrada'!F11)-$V$4,0)*2*Aliquotas!$H$32</f>
        <v>0</v>
      </c>
      <c r="I10" s="94">
        <f>'Dados de entrada'!G11*Aliquotas!$I$32</f>
        <v>693.88374497999996</v>
      </c>
      <c r="J10" s="94">
        <f>IF('Dados de entrada'!H11&gt;MAX('Dados de entrada'!E11,$V$3),('Dados de entrada'!H11-MAX('Dados de entrada'!E11,$V$3))*Aliquotas!$J$32,0)</f>
        <v>0</v>
      </c>
      <c r="K10" s="94">
        <f>IF('Dados de entrada'!I11&gt;MAX('Dados de entrada'!F11,$V$4),('Dados de entrada'!I11-MAX('Dados de entrada'!F11,$V$4))*Aliquotas!$J$32,0)</f>
        <v>196.23460999999998</v>
      </c>
      <c r="L10" s="94">
        <f>'Dados de entrada'!J11</f>
        <v>4051.47</v>
      </c>
      <c r="M10" s="94">
        <f t="shared" si="1"/>
        <v>28338.26366678</v>
      </c>
      <c r="N10" s="94">
        <f>'Dados de entrada'!M11</f>
        <v>0</v>
      </c>
      <c r="O10" s="94">
        <f>'Dados de entrada'!K11</f>
        <v>0</v>
      </c>
      <c r="P10" s="94">
        <f>'Dados de entrada'!L11</f>
        <v>-143.11000000000001</v>
      </c>
      <c r="Q10" s="94">
        <f>M10/(1-('Dados de entrada'!$N$16+'Dados de entrada'!$O$16)/100)*('Dados de entrada'!$N$16/100)</f>
        <v>291.49298563398281</v>
      </c>
      <c r="R10" s="95">
        <f>M10/(1-('Dados de entrada'!$N$16+'Dados de entrada'!$O$16)/100)*('Dados de entrada'!$O$16/100)</f>
        <v>1343.8151351420977</v>
      </c>
      <c r="S10" s="100">
        <f t="shared" si="0"/>
        <v>29830.46178755608</v>
      </c>
    </row>
    <row r="11" spans="2:22" x14ac:dyDescent="0.25">
      <c r="B11" s="92">
        <f>'Dados de entrada'!B12</f>
        <v>44348</v>
      </c>
      <c r="C11" s="93">
        <f>'Dados de entrada'!C12*((Aliquotas!$C$32)+(Aliquotas!$D$32))</f>
        <v>876.68313303999992</v>
      </c>
      <c r="D11" s="94">
        <f>'Dados de entrada'!D12*(Aliquotas!$F$32+Aliquotas!$E$32)</f>
        <v>8310.16545348</v>
      </c>
      <c r="E11" s="94">
        <f>IF('Dados de entrada'!E12&gt;=($V$3),'Dados de entrada'!E12*Aliquotas!$G$32,$V$3*Aliquotas!$G$32)</f>
        <v>1907.98</v>
      </c>
      <c r="F11" s="94">
        <f>IF(('Dados de entrada'!F12)&gt;=($V$4),'Dados de entrada'!F12*Aliquotas!$H$32,$V$4*Aliquotas!$H$32)</f>
        <v>6024.5999999999995</v>
      </c>
      <c r="G11" s="94">
        <f>IF(('Dados de entrada'!E12-$V$3)&gt;($V$3*0.05),('Dados de entrada'!E12)-$V$3,0)*2*Aliquotas!$G$32</f>
        <v>0</v>
      </c>
      <c r="H11" s="94">
        <f>IF(('Dados de entrada'!F12-$V$4)&gt;($V$4*0.05),('Dados de entrada'!F12)-$V$4,0)*2*Aliquotas!$H$32</f>
        <v>0</v>
      </c>
      <c r="I11" s="94">
        <f>'Dados de entrada'!G12*Aliquotas!$I$32</f>
        <v>155.4291345</v>
      </c>
      <c r="J11" s="94">
        <f>IF('Dados de entrada'!H12&gt;MAX('Dados de entrada'!E12,$V$3),('Dados de entrada'!H12-MAX('Dados de entrada'!E12,$V$3))*Aliquotas!$J$32,0)</f>
        <v>0</v>
      </c>
      <c r="K11" s="94">
        <f>IF('Dados de entrada'!I12&gt;MAX('Dados de entrada'!F12,$V$4),('Dados de entrada'!I12-MAX('Dados de entrada'!F12,$V$4))*Aliquotas!$J$32,0)</f>
        <v>0</v>
      </c>
      <c r="L11" s="94">
        <f>'Dados de entrada'!J12</f>
        <v>1592.69</v>
      </c>
      <c r="M11" s="94">
        <f t="shared" si="1"/>
        <v>18867.547721019997</v>
      </c>
      <c r="N11" s="94">
        <f>'Dados de entrada'!M12</f>
        <v>0</v>
      </c>
      <c r="O11" s="94">
        <f>'Dados de entrada'!K12</f>
        <v>0</v>
      </c>
      <c r="P11" s="94">
        <f>'Dados de entrada'!L12</f>
        <v>-803.64</v>
      </c>
      <c r="Q11" s="94">
        <f>M11/(1-('Dados de entrada'!$N$16+'Dados de entrada'!$O$16)/100)*('Dados de entrada'!$N$16/100)</f>
        <v>194.07532802508823</v>
      </c>
      <c r="R11" s="95">
        <f>M11/(1-('Dados de entrada'!$N$16+'Dados de entrada'!$O$16)/100)*('Dados de entrada'!$O$16/100)</f>
        <v>894.70888155524847</v>
      </c>
      <c r="S11" s="100">
        <f t="shared" si="0"/>
        <v>19152.691930600333</v>
      </c>
    </row>
    <row r="12" spans="2:22" x14ac:dyDescent="0.25">
      <c r="B12" s="92">
        <f>'Dados de entrada'!B13</f>
        <v>44317</v>
      </c>
      <c r="C12" s="93">
        <f>'Dados de entrada'!C13*((Aliquotas!$C$32)+(Aliquotas!$D$32))</f>
        <v>1019.1048109000001</v>
      </c>
      <c r="D12" s="94">
        <f>'Dados de entrada'!D13*(Aliquotas!$F$32+Aliquotas!$E$32)</f>
        <v>11177.79744436</v>
      </c>
      <c r="E12" s="94">
        <f>IF('Dados de entrada'!E13&gt;=($V$3),'Dados de entrada'!E13*Aliquotas!$G$32,$V$3*Aliquotas!$G$32)</f>
        <v>2091.5477599999999</v>
      </c>
      <c r="F12" s="94">
        <f>IF(('Dados de entrada'!F13)&gt;=($V$4),'Dados de entrada'!F13*Aliquotas!$H$32,$V$4*Aliquotas!$H$32)</f>
        <v>6024.5999999999995</v>
      </c>
      <c r="G12" s="94">
        <f>IF(('Dados de entrada'!E13-$V$3)&gt;($V$3*0.05),('Dados de entrada'!E13)-$V$3,0)*2*Aliquotas!$G$32</f>
        <v>367.13551999999987</v>
      </c>
      <c r="H12" s="94">
        <f>IF(('Dados de entrada'!F13-$V$4)&gt;($V$4*0.05),('Dados de entrada'!F13)-$V$4,0)*2*Aliquotas!$H$32</f>
        <v>0</v>
      </c>
      <c r="I12" s="94">
        <f>'Dados de entrada'!G13*Aliquotas!$I$32</f>
        <v>185.58753894</v>
      </c>
      <c r="J12" s="94">
        <f>IF('Dados de entrada'!H13&gt;MAX('Dados de entrada'!E13,$V$3),('Dados de entrada'!H13-MAX('Dados de entrada'!E13,$V$3))*Aliquotas!$J$32,0)</f>
        <v>0</v>
      </c>
      <c r="K12" s="94">
        <f>IF('Dados de entrada'!I13&gt;MAX('Dados de entrada'!F13,$V$4),('Dados de entrada'!I13-MAX('Dados de entrada'!F13,$V$4))*Aliquotas!$J$32,0)</f>
        <v>0</v>
      </c>
      <c r="L12" s="94">
        <f>'Dados de entrada'!J13</f>
        <v>1417.72</v>
      </c>
      <c r="M12" s="94">
        <f t="shared" si="1"/>
        <v>22283.4930742</v>
      </c>
      <c r="N12" s="94">
        <f>'Dados de entrada'!M13</f>
        <v>0</v>
      </c>
      <c r="O12" s="94">
        <f>'Dados de entrada'!K13</f>
        <v>0</v>
      </c>
      <c r="P12" s="94">
        <f>'Dados de entrada'!L13</f>
        <v>0</v>
      </c>
      <c r="Q12" s="94">
        <f>M12/(1-('Dados de entrada'!$N$16+'Dados de entrada'!$O$16)/100)*('Dados de entrada'!$N$16/100)</f>
        <v>229.21241763189511</v>
      </c>
      <c r="R12" s="95">
        <f>M12/(1-('Dados de entrada'!$N$16+'Dados de entrada'!$O$16)/100)*('Dados de entrada'!$O$16/100)</f>
        <v>1056.6947787999966</v>
      </c>
      <c r="S12" s="100">
        <f t="shared" si="0"/>
        <v>23569.40027063189</v>
      </c>
    </row>
    <row r="13" spans="2:22" x14ac:dyDescent="0.25">
      <c r="B13" s="92">
        <f>'Dados de entrada'!B14</f>
        <v>44287</v>
      </c>
      <c r="C13" s="93">
        <f>'Dados de entrada'!C14*((Aliquotas!$C$32)+(Aliquotas!$D$32))</f>
        <v>1020.2741186</v>
      </c>
      <c r="D13" s="94">
        <f>'Dados de entrada'!D14*(Aliquotas!$F$32+Aliquotas!$E$32)</f>
        <v>13897.762579</v>
      </c>
      <c r="E13" s="94">
        <f>IF('Dados de entrada'!E14&gt;=($V$3),'Dados de entrada'!E14*Aliquotas!$G$32,$V$3*Aliquotas!$G$32)</f>
        <v>2099.7821999999996</v>
      </c>
      <c r="F13" s="94">
        <f>IF(('Dados de entrada'!F14)&gt;=($V$4),'Dados de entrada'!F14*Aliquotas!$H$32,$V$4*Aliquotas!$H$32)</f>
        <v>6024.5999999999995</v>
      </c>
      <c r="G13" s="94">
        <f>IF(('Dados de entrada'!E14-$V$3)&gt;($V$3*0.05),('Dados de entrada'!E14)-$V$3,0)*2*Aliquotas!$G$32</f>
        <v>383.60439999999932</v>
      </c>
      <c r="H13" s="94">
        <f>IF(('Dados de entrada'!F14-$V$4)&gt;($V$4*0.05),('Dados de entrada'!F14)-$V$4,0)*2*Aliquotas!$H$32</f>
        <v>0</v>
      </c>
      <c r="I13" s="94">
        <f>'Dados de entrada'!G14*Aliquotas!$I$32</f>
        <v>366.59521388000002</v>
      </c>
      <c r="J13" s="94">
        <f>IF('Dados de entrada'!H14&gt;MAX('Dados de entrada'!E14,$V$3),('Dados de entrada'!H14-MAX('Dados de entrada'!E14,$V$3))*Aliquotas!$J$32,0)</f>
        <v>0</v>
      </c>
      <c r="K13" s="94">
        <f>IF('Dados de entrada'!I14&gt;MAX('Dados de entrada'!F14,$V$4),('Dados de entrada'!I14-MAX('Dados de entrada'!F14,$V$4))*Aliquotas!$J$32,0)</f>
        <v>38.088859999999222</v>
      </c>
      <c r="L13" s="94">
        <f>'Dados de entrada'!J14</f>
        <v>561.44000000000005</v>
      </c>
      <c r="M13" s="94">
        <f t="shared" si="1"/>
        <v>24392.147371479998</v>
      </c>
      <c r="N13" s="94">
        <f>'Dados de entrada'!M14</f>
        <v>0</v>
      </c>
      <c r="O13" s="94">
        <f>'Dados de entrada'!K14</f>
        <v>0</v>
      </c>
      <c r="P13" s="94">
        <f>'Dados de entrada'!L14</f>
        <v>-1531.3700000000001</v>
      </c>
      <c r="Q13" s="94">
        <f>M13/(1-('Dados de entrada'!$N$16+'Dados de entrada'!$O$16)/100)*('Dados de entrada'!$N$16/100)</f>
        <v>250.90245284406009</v>
      </c>
      <c r="R13" s="95">
        <f>M13/(1-('Dados de entrada'!$N$16+'Dados de entrada'!$O$16)/100)*('Dados de entrada'!$O$16/100)</f>
        <v>1156.6882573273726</v>
      </c>
      <c r="S13" s="100">
        <f t="shared" si="0"/>
        <v>24268.368081651432</v>
      </c>
    </row>
    <row r="14" spans="2:22" ht="15.75" thickBot="1" x14ac:dyDescent="0.3">
      <c r="B14" s="113">
        <f>'Dados de entrada'!B15</f>
        <v>44256</v>
      </c>
      <c r="C14" s="107">
        <f>'Dados de entrada'!C15*((Aliquotas!$C$32)+(Aliquotas!$D$32))</f>
        <v>1181.82992246</v>
      </c>
      <c r="D14" s="108">
        <f>'Dados de entrada'!D15*(Aliquotas!$F$32+Aliquotas!$E$32)</f>
        <v>15002.10298034</v>
      </c>
      <c r="E14" s="108">
        <f>IF('Dados de entrada'!E15&gt;=($V$3),'Dados de entrada'!E15*Aliquotas!$G$32,$V$3*Aliquotas!$G$32)</f>
        <v>2099.7821999999996</v>
      </c>
      <c r="F14" s="108">
        <f>IF(('Dados de entrada'!F15)&gt;=($V$4),'Dados de entrada'!F15*Aliquotas!$H$32,$V$4*Aliquotas!$H$32)</f>
        <v>7020.5333199999995</v>
      </c>
      <c r="G14" s="108">
        <f>IF(('Dados de entrada'!E15-$V$3)&gt;($V$3*0.05),('Dados de entrada'!E15)-$V$3,0)*2*Aliquotas!$G$32</f>
        <v>383.60439999999932</v>
      </c>
      <c r="H14" s="108">
        <f>IF(('Dados de entrada'!F15-$V$4)&gt;($V$4*0.05),('Dados de entrada'!F15)-$V$4,0)*2*Aliquotas!$H$32</f>
        <v>1991.86664</v>
      </c>
      <c r="I14" s="108">
        <f>'Dados de entrada'!G15*Aliquotas!$I$32</f>
        <v>495.23214398000005</v>
      </c>
      <c r="J14" s="94">
        <f>IF('Dados de entrada'!H15&gt;MAX('Dados de entrada'!E15,$V$3),('Dados de entrada'!H15-MAX('Dados de entrada'!E15,$V$3))*Aliquotas!$J$32,0)</f>
        <v>0</v>
      </c>
      <c r="K14" s="94">
        <f>IF('Dados de entrada'!I15&gt;MAX('Dados de entrada'!F15,$V$4),('Dados de entrada'!I15-MAX('Dados de entrada'!F15,$V$4))*Aliquotas!$J$32,0)</f>
        <v>248.38086999999973</v>
      </c>
      <c r="L14" s="108">
        <f>'Dados de entrada'!J15</f>
        <v>608.14</v>
      </c>
      <c r="M14" s="108">
        <f t="shared" si="1"/>
        <v>29031.47247678</v>
      </c>
      <c r="N14" s="108">
        <f>'Dados de entrada'!M15</f>
        <v>0</v>
      </c>
      <c r="O14" s="108">
        <f>'Dados de entrada'!K15</f>
        <v>0</v>
      </c>
      <c r="P14" s="108">
        <f>'Dados de entrada'!L15</f>
        <v>0</v>
      </c>
      <c r="Q14" s="108">
        <f>M14/(1-('Dados de entrada'!$N$16+'Dados de entrada'!$O$16)/100)*('Dados de entrada'!$N$16/100)</f>
        <v>298.62346857643473</v>
      </c>
      <c r="R14" s="109">
        <f>M14/(1-('Dados de entrada'!$N$16+'Dados de entrada'!$O$16)/100)*('Dados de entrada'!$O$16/100)</f>
        <v>1376.6874558193826</v>
      </c>
      <c r="S14" s="101">
        <f t="shared" si="0"/>
        <v>30706.783401175817</v>
      </c>
    </row>
    <row r="15" spans="2:22" ht="32.25" thickBot="1" x14ac:dyDescent="0.3">
      <c r="B15" s="134" t="s">
        <v>25</v>
      </c>
      <c r="C15" s="102">
        <f t="shared" ref="C15:F15" si="2">SUM(C3:C14)</f>
        <v>11162.44516574</v>
      </c>
      <c r="D15" s="103">
        <f t="shared" si="2"/>
        <v>149449.14255881996</v>
      </c>
      <c r="E15" s="103">
        <f t="shared" si="2"/>
        <v>23884.294480000004</v>
      </c>
      <c r="F15" s="103">
        <f t="shared" si="2"/>
        <v>74014.353080000001</v>
      </c>
      <c r="G15" s="103">
        <f>SUM(G3:G14)</f>
        <v>1732.0441599999983</v>
      </c>
      <c r="H15" s="103">
        <f t="shared" ref="H15:L15" si="3">SUM(H3:H14)</f>
        <v>1991.86664</v>
      </c>
      <c r="I15" s="103">
        <f t="shared" si="3"/>
        <v>5225.9568641400001</v>
      </c>
      <c r="J15" s="103">
        <f t="shared" si="3"/>
        <v>0</v>
      </c>
      <c r="K15" s="103">
        <f t="shared" si="3"/>
        <v>1342.7829299999999</v>
      </c>
      <c r="L15" s="103">
        <f t="shared" si="3"/>
        <v>43267.360000000008</v>
      </c>
      <c r="M15" s="103">
        <f>SUM(M3:M14)</f>
        <v>312070.24587869999</v>
      </c>
      <c r="N15" s="103">
        <f t="shared" ref="N15:S15" si="4">SUM(N3:N14)</f>
        <v>0</v>
      </c>
      <c r="O15" s="103">
        <f t="shared" si="4"/>
        <v>1871.9099999999999</v>
      </c>
      <c r="P15" s="103">
        <f t="shared" si="4"/>
        <v>-12025.890000000001</v>
      </c>
      <c r="Q15" s="103">
        <f t="shared" si="4"/>
        <v>3210.0162793442469</v>
      </c>
      <c r="R15" s="103">
        <f t="shared" si="4"/>
        <v>14798.532633138006</v>
      </c>
      <c r="S15" s="139">
        <f t="shared" si="4"/>
        <v>319924.81479118223</v>
      </c>
    </row>
    <row r="17" spans="18:21" x14ac:dyDescent="0.25">
      <c r="U17" s="8"/>
    </row>
    <row r="18" spans="18:21" x14ac:dyDescent="0.25">
      <c r="U18" s="8"/>
    </row>
    <row r="19" spans="18:21" x14ac:dyDescent="0.25">
      <c r="R19" s="7"/>
      <c r="U19" s="8"/>
    </row>
    <row r="20" spans="18:21" x14ac:dyDescent="0.25">
      <c r="U20" s="8"/>
    </row>
    <row r="21" spans="18:21" x14ac:dyDescent="0.25">
      <c r="R21" s="7"/>
      <c r="U21" s="8"/>
    </row>
    <row r="22" spans="18:21" x14ac:dyDescent="0.25">
      <c r="U22" s="8"/>
    </row>
    <row r="23" spans="18:21" x14ac:dyDescent="0.25">
      <c r="U23" s="8"/>
    </row>
    <row r="24" spans="18:21" x14ac:dyDescent="0.25">
      <c r="U24" s="8"/>
    </row>
    <row r="25" spans="18:21" x14ac:dyDescent="0.25">
      <c r="U25" s="8"/>
    </row>
    <row r="26" spans="18:21" x14ac:dyDescent="0.25">
      <c r="U26" s="8"/>
    </row>
    <row r="27" spans="18:21" x14ac:dyDescent="0.25">
      <c r="U27" s="8"/>
    </row>
    <row r="28" spans="18:21" x14ac:dyDescent="0.25">
      <c r="U28" s="8"/>
    </row>
    <row r="29" spans="18:21" x14ac:dyDescent="0.25">
      <c r="U29" s="29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zoomScale="90" zoomScaleNormal="90" workbookViewId="0">
      <selection activeCell="N14" sqref="N14"/>
    </sheetView>
  </sheetViews>
  <sheetFormatPr defaultRowHeight="15" x14ac:dyDescent="0.25"/>
  <cols>
    <col min="1" max="1" width="8.5703125" customWidth="1"/>
    <col min="2" max="2" width="11.28515625" customWidth="1"/>
    <col min="3" max="3" width="15.7109375" customWidth="1"/>
    <col min="4" max="5" width="14.28515625" customWidth="1"/>
    <col min="6" max="6" width="15.7109375" customWidth="1"/>
    <col min="7" max="11" width="14.28515625" customWidth="1"/>
    <col min="12" max="12" width="16.85546875" customWidth="1"/>
    <col min="14" max="14" width="16.42578125" customWidth="1"/>
  </cols>
  <sheetData>
    <row r="1" spans="2:12" ht="37.5" customHeight="1" thickBot="1" x14ac:dyDescent="0.3"/>
    <row r="2" spans="2:12" ht="32.25" thickBot="1" x14ac:dyDescent="0.3">
      <c r="B2" s="165" t="s">
        <v>3</v>
      </c>
      <c r="C2" s="164" t="s">
        <v>72</v>
      </c>
      <c r="D2" s="163" t="s">
        <v>43</v>
      </c>
      <c r="E2" s="163" t="s">
        <v>58</v>
      </c>
      <c r="F2" s="163" t="s">
        <v>69</v>
      </c>
      <c r="G2" s="163" t="s">
        <v>46</v>
      </c>
      <c r="H2" s="163" t="s">
        <v>47</v>
      </c>
      <c r="I2" s="163" t="s">
        <v>28</v>
      </c>
      <c r="J2" s="163" t="s">
        <v>21</v>
      </c>
      <c r="K2" s="163" t="s">
        <v>22</v>
      </c>
      <c r="L2" s="171" t="s">
        <v>23</v>
      </c>
    </row>
    <row r="3" spans="2:12" x14ac:dyDescent="0.25">
      <c r="B3" s="166">
        <f>'Dados de entrada'!B4</f>
        <v>44593</v>
      </c>
      <c r="C3" s="90">
        <f>('Dados de entrada'!C4+'Dados de entrada'!D4)*(Aliquotas!$C36)</f>
        <v>20046.634547639998</v>
      </c>
      <c r="D3" s="91">
        <f>'Dados de entrada'!G4*Aliquotas!D36</f>
        <v>239.25209536</v>
      </c>
      <c r="E3" s="162">
        <f>'Dados de entrada'!J4</f>
        <v>5413.79</v>
      </c>
      <c r="F3" s="91">
        <f>SUM(C3:E3)</f>
        <v>25699.676642999999</v>
      </c>
      <c r="G3" s="91">
        <f>'Dados de entrada'!M4</f>
        <v>0</v>
      </c>
      <c r="H3" s="91">
        <f>'Tarifa Azul Futuro'!O3</f>
        <v>0</v>
      </c>
      <c r="I3" s="91">
        <f>'Dados de entrada'!L4</f>
        <v>-7685.13</v>
      </c>
      <c r="J3" s="91">
        <f>F3/(1-('Dados de entrada'!N4+'Dados de entrada'!O4)/100)*('Dados de entrada'!N4/100)</f>
        <v>275.25634580519619</v>
      </c>
      <c r="K3" s="72">
        <f>F3/(1-('Dados de entrada'!N4+'Dados de entrada'!O4)/100)*('Dados de entrada'!O4/100)</f>
        <v>1278.170556263733</v>
      </c>
      <c r="L3" s="100">
        <f t="shared" ref="L3:L14" si="0">SUM(F3:K3)</f>
        <v>19567.973545068926</v>
      </c>
    </row>
    <row r="4" spans="2:12" x14ac:dyDescent="0.25">
      <c r="B4" s="167">
        <f>'Dados de entrada'!B5</f>
        <v>44562</v>
      </c>
      <c r="C4" s="93">
        <f>('Dados de entrada'!C5+'Dados de entrada'!D5)*(Aliquotas!$C37)</f>
        <v>17558.034496408385</v>
      </c>
      <c r="D4" s="94">
        <f>'Dados de entrada'!G5*Aliquotas!D37</f>
        <v>194.51827374000001</v>
      </c>
      <c r="E4" s="161">
        <f>'Dados de entrada'!J5</f>
        <v>4592.33</v>
      </c>
      <c r="F4" s="94">
        <f t="shared" ref="F4:F14" si="1">SUM(C4:E4)</f>
        <v>22344.882770148382</v>
      </c>
      <c r="G4" s="94">
        <f>'Dados de entrada'!M5</f>
        <v>0</v>
      </c>
      <c r="H4" s="94">
        <f>'Tarifa Azul Futuro'!O4</f>
        <v>0</v>
      </c>
      <c r="I4" s="94">
        <f>'Dados de entrada'!L5</f>
        <v>-551.03</v>
      </c>
      <c r="J4" s="94">
        <f>F4/(1-('Dados de entrada'!N5+'Dados de entrada'!O5)/100)*('Dados de entrada'!N5/100)</f>
        <v>129.22786689335015</v>
      </c>
      <c r="K4" s="95">
        <f>F4/(1-('Dados de entrada'!N5+'Dados de entrada'!O5)/100)*('Dados de entrada'!O5/100)</f>
        <v>602.29416534222116</v>
      </c>
      <c r="L4" s="100">
        <f t="shared" si="0"/>
        <v>22525.374802383954</v>
      </c>
    </row>
    <row r="5" spans="2:12" x14ac:dyDescent="0.25">
      <c r="B5" s="167">
        <f>'Dados de entrada'!B6</f>
        <v>44531</v>
      </c>
      <c r="C5" s="93">
        <f>('Dados de entrada'!C6+'Dados de entrada'!D6)*(Aliquotas!$C38)</f>
        <v>15880.598593000002</v>
      </c>
      <c r="D5" s="94">
        <f>'Dados de entrada'!G6*Aliquotas!D38</f>
        <v>93.978592014439997</v>
      </c>
      <c r="E5" s="161">
        <f>'Dados de entrada'!J6</f>
        <v>4048.55</v>
      </c>
      <c r="F5" s="94">
        <f t="shared" si="1"/>
        <v>20023.127185014444</v>
      </c>
      <c r="G5" s="94">
        <f>'Dados de entrada'!M6</f>
        <v>0</v>
      </c>
      <c r="H5" s="94">
        <f>'Tarifa Azul Futuro'!O5</f>
        <v>1027.04</v>
      </c>
      <c r="I5" s="94">
        <f>'Dados de entrada'!L6</f>
        <v>-1311.61</v>
      </c>
      <c r="J5" s="94">
        <f>F5/(1-('Dados de entrada'!N6+'Dados de entrada'!O6)/100)*('Dados de entrada'!N6/100)</f>
        <v>290.06476138291191</v>
      </c>
      <c r="K5" s="95">
        <f>F5/(1-('Dados de entrada'!N6+'Dados de entrada'!O6)/100)*('Dados de entrada'!O6/100)</f>
        <v>1333.4320374020429</v>
      </c>
      <c r="L5" s="100">
        <f t="shared" si="0"/>
        <v>21362.0539837994</v>
      </c>
    </row>
    <row r="6" spans="2:12" x14ac:dyDescent="0.25">
      <c r="B6" s="167">
        <f>'Dados de entrada'!B7</f>
        <v>44501</v>
      </c>
      <c r="C6" s="93">
        <f>('Dados de entrada'!C7+'Dados de entrada'!D7)*(Aliquotas!$C39)</f>
        <v>20345.551811000001</v>
      </c>
      <c r="D6" s="94">
        <f>'Dados de entrada'!G7*Aliquotas!D39</f>
        <v>415.21325495999997</v>
      </c>
      <c r="E6" s="161">
        <f>'Dados de entrada'!J7</f>
        <v>5186.83</v>
      </c>
      <c r="F6" s="94">
        <f t="shared" si="1"/>
        <v>25947.595065959998</v>
      </c>
      <c r="G6" s="94">
        <f>'Dados de entrada'!M7</f>
        <v>0</v>
      </c>
      <c r="H6" s="94">
        <f>'Tarifa Azul Futuro'!O6</f>
        <v>844.87</v>
      </c>
      <c r="I6" s="94">
        <f>'Dados de entrada'!L7</f>
        <v>0</v>
      </c>
      <c r="J6" s="94">
        <f>F6/(1-('Dados de entrada'!N7+'Dados de entrada'!O7)/100)*('Dados de entrada'!N7/100)</f>
        <v>375.88948527985292</v>
      </c>
      <c r="K6" s="95">
        <f>F6/(1-('Dados de entrada'!N7+'Dados de entrada'!O7)/100)*('Dados de entrada'!O7/100)</f>
        <v>1727.969574122309</v>
      </c>
      <c r="L6" s="100">
        <f t="shared" si="0"/>
        <v>28896.324125362156</v>
      </c>
    </row>
    <row r="7" spans="2:12" x14ac:dyDescent="0.25">
      <c r="B7" s="167">
        <f>'Dados de entrada'!B8</f>
        <v>44470</v>
      </c>
      <c r="C7" s="93">
        <f>('Dados de entrada'!C8+'Dados de entrada'!D8)*(Aliquotas!$C40)</f>
        <v>22315.494268000002</v>
      </c>
      <c r="D7" s="94">
        <f>'Dados de entrada'!G8*Aliquotas!D40</f>
        <v>682.0760032799999</v>
      </c>
      <c r="E7" s="161">
        <f>'Dados de entrada'!J8</f>
        <v>5689.05</v>
      </c>
      <c r="F7" s="94">
        <f t="shared" si="1"/>
        <v>28686.62027128</v>
      </c>
      <c r="G7" s="94">
        <f>'Dados de entrada'!M8</f>
        <v>0</v>
      </c>
      <c r="H7" s="94">
        <f>'Tarifa Azul Futuro'!O7</f>
        <v>0</v>
      </c>
      <c r="I7" s="94">
        <f>'Dados de entrada'!L8</f>
        <v>0</v>
      </c>
      <c r="J7" s="94">
        <f>F7/(1-('Dados de entrada'!N8+'Dados de entrada'!O8)/100)*('Dados de entrada'!N8/100)</f>
        <v>415.56833690286703</v>
      </c>
      <c r="K7" s="95">
        <f>F7/(1-('Dados de entrada'!N8+'Dados de entrada'!O8)/100)*('Dados de entrada'!O8/100)</f>
        <v>1910.3738472549708</v>
      </c>
      <c r="L7" s="100">
        <f t="shared" si="0"/>
        <v>31012.562455437837</v>
      </c>
    </row>
    <row r="8" spans="2:12" x14ac:dyDescent="0.25">
      <c r="B8" s="167">
        <f>'Dados de entrada'!B9</f>
        <v>44440</v>
      </c>
      <c r="C8" s="93">
        <f>('Dados de entrada'!C9+'Dados de entrada'!D9)*(Aliquotas!$C41)</f>
        <v>24029.730836000002</v>
      </c>
      <c r="D8" s="94">
        <f>'Dados de entrada'!G9*Aliquotas!D41</f>
        <v>717.09931356000004</v>
      </c>
      <c r="E8" s="161">
        <f>'Dados de entrada'!J9</f>
        <v>6126.07</v>
      </c>
      <c r="F8" s="94">
        <f t="shared" si="1"/>
        <v>30872.900149560002</v>
      </c>
      <c r="G8" s="94">
        <f>'Dados de entrada'!M9</f>
        <v>0</v>
      </c>
      <c r="H8" s="94">
        <f>'Tarifa Azul Futuro'!O8</f>
        <v>0</v>
      </c>
      <c r="I8" s="94">
        <f>'Dados de entrada'!L9</f>
        <v>0</v>
      </c>
      <c r="J8" s="94">
        <f>F8/(1-('Dados de entrada'!N9+'Dados de entrada'!O9)/100)*('Dados de entrada'!N9/100)</f>
        <v>316.69535897920053</v>
      </c>
      <c r="K8" s="95">
        <f>F8/(1-('Dados de entrada'!N9+'Dados de entrada'!O9)/100)*('Dados de entrada'!O9/100)</f>
        <v>1459.4105717907487</v>
      </c>
      <c r="L8" s="100">
        <f t="shared" si="0"/>
        <v>32649.006080329949</v>
      </c>
    </row>
    <row r="9" spans="2:12" x14ac:dyDescent="0.25">
      <c r="B9" s="167">
        <f>'Dados de entrada'!B10</f>
        <v>44409</v>
      </c>
      <c r="C9" s="93">
        <f>('Dados de entrada'!C10+'Dados de entrada'!D10)*(Aliquotas!$C42)</f>
        <v>23350.786826</v>
      </c>
      <c r="D9" s="94">
        <f>'Dados de entrada'!G10*Aliquotas!D42</f>
        <v>822.15846467999995</v>
      </c>
      <c r="E9" s="161">
        <f>'Dados de entrada'!J10</f>
        <v>3979.28</v>
      </c>
      <c r="F9" s="94">
        <f t="shared" si="1"/>
        <v>28152.225290679999</v>
      </c>
      <c r="G9" s="94">
        <f>'Dados de entrada'!M10</f>
        <v>0</v>
      </c>
      <c r="H9" s="94">
        <f>'Tarifa Azul Futuro'!O9</f>
        <v>0</v>
      </c>
      <c r="I9" s="94">
        <f>'Dados de entrada'!L10</f>
        <v>0</v>
      </c>
      <c r="J9" s="94">
        <f>F9/(1-('Dados de entrada'!N10+'Dados de entrada'!O10)/100)*('Dados de entrada'!N10/100)</f>
        <v>333.21571841175944</v>
      </c>
      <c r="K9" s="95">
        <f>F9/(1-('Dados de entrada'!N10+'Dados de entrada'!O10)/100)*('Dados de entrada'!O10/100)</f>
        <v>1533.9930820577395</v>
      </c>
      <c r="L9" s="100">
        <f t="shared" si="0"/>
        <v>30019.434091149498</v>
      </c>
    </row>
    <row r="10" spans="2:12" x14ac:dyDescent="0.25">
      <c r="B10" s="167">
        <f>'Dados de entrada'!B11</f>
        <v>44378</v>
      </c>
      <c r="C10" s="93">
        <f>('Dados de entrada'!C11+'Dados de entrada'!D11)*(Aliquotas!$C43)</f>
        <v>23774.458850000003</v>
      </c>
      <c r="D10" s="94">
        <f>'Dados de entrada'!G11*Aliquotas!D43</f>
        <v>653.28337116</v>
      </c>
      <c r="E10" s="161">
        <f>'Dados de entrada'!J11</f>
        <v>4051.47</v>
      </c>
      <c r="F10" s="94">
        <f t="shared" si="1"/>
        <v>28479.212221160004</v>
      </c>
      <c r="G10" s="94">
        <f>'Dados de entrada'!M11</f>
        <v>0</v>
      </c>
      <c r="H10" s="94">
        <f>'Tarifa Azul Futuro'!O10</f>
        <v>0</v>
      </c>
      <c r="I10" s="94">
        <f>'Dados de entrada'!L11</f>
        <v>-143.11000000000001</v>
      </c>
      <c r="J10" s="94">
        <f>F10/(1-('Dados de entrada'!N11+'Dados de entrada'!O11)/100)*('Dados de entrada'!N11/100)</f>
        <v>311.19869072559732</v>
      </c>
      <c r="K10" s="95">
        <f>F10/(1-('Dados de entrada'!N11+'Dados de entrada'!O11)/100)*('Dados de entrada'!O11/100)</f>
        <v>1423.0542071044306</v>
      </c>
      <c r="L10" s="100">
        <f t="shared" si="0"/>
        <v>30070.355118990028</v>
      </c>
    </row>
    <row r="11" spans="2:12" x14ac:dyDescent="0.25">
      <c r="B11" s="167">
        <f>'Dados de entrada'!B12</f>
        <v>44348</v>
      </c>
      <c r="C11" s="93">
        <f>('Dados de entrada'!C12+'Dados de entrada'!D12)*(Aliquotas!$C44)</f>
        <v>14209.957858000002</v>
      </c>
      <c r="D11" s="94">
        <f>'Dados de entrada'!G12*Aliquotas!D44</f>
        <v>146.334699</v>
      </c>
      <c r="E11" s="161">
        <f>'Dados de entrada'!J12</f>
        <v>1592.69</v>
      </c>
      <c r="F11" s="94">
        <f t="shared" si="1"/>
        <v>15948.982557000001</v>
      </c>
      <c r="G11" s="94">
        <f>'Dados de entrada'!M12</f>
        <v>0</v>
      </c>
      <c r="H11" s="94">
        <f>'Tarifa Azul Futuro'!O11</f>
        <v>0</v>
      </c>
      <c r="I11" s="94">
        <f>'Dados de entrada'!L12</f>
        <v>-803.64</v>
      </c>
      <c r="J11" s="94">
        <f>F11/(1-('Dados de entrada'!N12+'Dados de entrada'!O12)/100)*('Dados de entrada'!N12/100)</f>
        <v>70.267033806454918</v>
      </c>
      <c r="K11" s="95">
        <f>F11/(1-('Dados de entrada'!N12+'Dados de entrada'!O12)/100)*('Dados de entrada'!O12/100)</f>
        <v>321.92106185747951</v>
      </c>
      <c r="L11" s="100">
        <f t="shared" si="0"/>
        <v>15537.530652663936</v>
      </c>
    </row>
    <row r="12" spans="2:12" x14ac:dyDescent="0.25">
      <c r="B12" s="167">
        <f>'Dados de entrada'!B13</f>
        <v>44317</v>
      </c>
      <c r="C12" s="93">
        <f>('Dados de entrada'!C13+'Dados de entrada'!D13)*(Aliquotas!$C45)</f>
        <v>18941.487377000001</v>
      </c>
      <c r="D12" s="94">
        <f>'Dados de entrada'!G13*Aliquotas!D45</f>
        <v>174.72848147999997</v>
      </c>
      <c r="E12" s="161">
        <f>'Dados de entrada'!J13</f>
        <v>1417.72</v>
      </c>
      <c r="F12" s="94">
        <f t="shared" si="1"/>
        <v>20533.935858480003</v>
      </c>
      <c r="G12" s="94">
        <f>'Dados de entrada'!M13</f>
        <v>0</v>
      </c>
      <c r="H12" s="94">
        <f>'Tarifa Azul Futuro'!O12</f>
        <v>0</v>
      </c>
      <c r="I12" s="94">
        <f>'Dados de entrada'!L13</f>
        <v>0</v>
      </c>
      <c r="J12" s="94">
        <f>F12/(1-('Dados de entrada'!N13+'Dados de entrada'!O13)/100)*('Dados de entrada'!N13/100)</f>
        <v>145.20670116229621</v>
      </c>
      <c r="K12" s="95">
        <f>F12/(1-('Dados de entrada'!N13+'Dados de entrada'!O13)/100)*('Dados de entrada'!O13/100)</f>
        <v>674.78408187184709</v>
      </c>
      <c r="L12" s="100">
        <f t="shared" si="0"/>
        <v>21353.926641514146</v>
      </c>
    </row>
    <row r="13" spans="2:12" x14ac:dyDescent="0.25">
      <c r="B13" s="167">
        <f>'Dados de entrada'!B14</f>
        <v>44287</v>
      </c>
      <c r="C13" s="93">
        <f>('Dados de entrada'!C14+'Dados de entrada'!D14)*(Aliquotas!$C46)</f>
        <v>23285.518680000001</v>
      </c>
      <c r="D13" s="94">
        <f>'Dados de entrada'!G14*Aliquotas!D46</f>
        <v>345.14507495999999</v>
      </c>
      <c r="E13" s="161">
        <f>'Dados de entrada'!J14</f>
        <v>561.44000000000005</v>
      </c>
      <c r="F13" s="94">
        <f t="shared" si="1"/>
        <v>24192.103754960001</v>
      </c>
      <c r="G13" s="94">
        <f>'Dados de entrada'!M14</f>
        <v>0</v>
      </c>
      <c r="H13" s="94">
        <f>'Tarifa Azul Futuro'!O13</f>
        <v>0</v>
      </c>
      <c r="I13" s="94">
        <f>'Dados de entrada'!L14</f>
        <v>-1531.3700000000001</v>
      </c>
      <c r="J13" s="94">
        <f>F13/(1-('Dados de entrada'!N14+'Dados de entrada'!O14)/100)*('Dados de entrada'!N14/100)</f>
        <v>197.38327331452723</v>
      </c>
      <c r="K13" s="95">
        <f>F13/(1-('Dados de entrada'!N14+'Dados de entrada'!O14)/100)*('Dados de entrada'!O14/100)</f>
        <v>916.06083256229306</v>
      </c>
      <c r="L13" s="100">
        <f t="shared" si="0"/>
        <v>23774.177860836822</v>
      </c>
    </row>
    <row r="14" spans="2:12" ht="15.75" thickBot="1" x14ac:dyDescent="0.3">
      <c r="B14" s="172">
        <f>'Dados de entrada'!B15</f>
        <v>44256</v>
      </c>
      <c r="C14" s="107">
        <f>('Dados de entrada'!C15+'Dados de entrada'!D15)*(Aliquotas!$C47)</f>
        <v>25222.278975999998</v>
      </c>
      <c r="D14" s="108">
        <f>'Dados de entrada'!G15*Aliquotas!D47</f>
        <v>466.25522916</v>
      </c>
      <c r="E14" s="168">
        <f>'Dados de entrada'!J15</f>
        <v>608.14</v>
      </c>
      <c r="F14" s="108">
        <f t="shared" si="1"/>
        <v>26296.674205159998</v>
      </c>
      <c r="G14" s="108">
        <f>'Dados de entrada'!M15</f>
        <v>0</v>
      </c>
      <c r="H14" s="108">
        <f>'Tarifa Azul Futuro'!O14</f>
        <v>0</v>
      </c>
      <c r="I14" s="108">
        <f>'Dados de entrada'!L15</f>
        <v>0</v>
      </c>
      <c r="J14" s="108">
        <f>F14/(1-('Dados de entrada'!N15+'Dados de entrada'!O15)/100)*('Dados de entrada'!N15/100)</f>
        <v>302.32497489432404</v>
      </c>
      <c r="K14" s="109">
        <f>F14/(1-('Dados de entrada'!N15+'Dados de entrada'!O15)/100)*('Dados de entrada'!O15/100)</f>
        <v>1394.0540509016053</v>
      </c>
      <c r="L14" s="101">
        <f t="shared" si="0"/>
        <v>27993.053230955928</v>
      </c>
    </row>
    <row r="15" spans="2:12" ht="32.25" thickBot="1" x14ac:dyDescent="0.3">
      <c r="B15" s="134" t="s">
        <v>25</v>
      </c>
      <c r="C15" s="169">
        <f>SUM(C3:C14)</f>
        <v>248960.5331190484</v>
      </c>
      <c r="D15" s="103">
        <f>SUM(D3:D14)</f>
        <v>4950.04285335444</v>
      </c>
      <c r="E15" s="170">
        <f>SUM(E3:E14)</f>
        <v>43267.360000000008</v>
      </c>
      <c r="F15" s="170">
        <f>SUM(F3:F14)</f>
        <v>297177.93597240286</v>
      </c>
      <c r="G15" s="170">
        <f t="shared" ref="G15:L15" si="2">SUM(G3:G14)</f>
        <v>0</v>
      </c>
      <c r="H15" s="170">
        <f t="shared" si="2"/>
        <v>1871.9099999999999</v>
      </c>
      <c r="I15" s="170">
        <f t="shared" si="2"/>
        <v>-12025.890000000001</v>
      </c>
      <c r="J15" s="170">
        <f t="shared" si="2"/>
        <v>3162.2985475583382</v>
      </c>
      <c r="K15" s="170">
        <f t="shared" si="2"/>
        <v>14575.518068531419</v>
      </c>
      <c r="L15" s="104">
        <f t="shared" si="2"/>
        <v>304761.77258849255</v>
      </c>
    </row>
    <row r="18" spans="10:10" x14ac:dyDescent="0.25">
      <c r="J18" s="11"/>
    </row>
    <row r="19" spans="10:10" x14ac:dyDescent="0.25">
      <c r="J19" s="11"/>
    </row>
    <row r="20" spans="10:10" x14ac:dyDescent="0.25">
      <c r="J20" s="11"/>
    </row>
    <row r="21" spans="10:10" x14ac:dyDescent="0.25">
      <c r="J21" s="11"/>
    </row>
    <row r="22" spans="10:10" x14ac:dyDescent="0.25">
      <c r="J22" s="11"/>
    </row>
    <row r="23" spans="10:10" x14ac:dyDescent="0.25">
      <c r="J23" s="11"/>
    </row>
    <row r="24" spans="10:10" x14ac:dyDescent="0.25">
      <c r="J24" s="11"/>
    </row>
    <row r="25" spans="10:10" x14ac:dyDescent="0.25">
      <c r="J25" s="11"/>
    </row>
    <row r="26" spans="10:10" x14ac:dyDescent="0.25">
      <c r="J26" s="11"/>
    </row>
    <row r="27" spans="10:10" x14ac:dyDescent="0.25">
      <c r="J27" s="11"/>
    </row>
    <row r="28" spans="10:10" x14ac:dyDescent="0.25">
      <c r="J28" s="11"/>
    </row>
    <row r="29" spans="10:10" x14ac:dyDescent="0.25">
      <c r="J29" s="11"/>
    </row>
    <row r="30" spans="10:10" x14ac:dyDescent="0.25">
      <c r="J30" s="11"/>
    </row>
    <row r="31" spans="10:10" x14ac:dyDescent="0.25">
      <c r="J31" s="7">
        <f>J16+K16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zoomScale="90" zoomScaleNormal="90" workbookViewId="0">
      <selection activeCell="B34" sqref="B34"/>
    </sheetView>
  </sheetViews>
  <sheetFormatPr defaultRowHeight="15" x14ac:dyDescent="0.25"/>
  <cols>
    <col min="1" max="1" width="7.85546875" customWidth="1"/>
    <col min="2" max="2" width="10.85546875" customWidth="1"/>
    <col min="3" max="3" width="15.7109375" customWidth="1"/>
    <col min="4" max="4" width="14.28515625" customWidth="1"/>
    <col min="5" max="6" width="15.7109375" customWidth="1"/>
    <col min="7" max="10" width="14.28515625" customWidth="1"/>
    <col min="11" max="11" width="14.140625" customWidth="1"/>
    <col min="12" max="12" width="15.7109375" customWidth="1"/>
    <col min="14" max="14" width="16.42578125" customWidth="1"/>
  </cols>
  <sheetData>
    <row r="1" spans="2:12" ht="42" customHeight="1" thickBot="1" x14ac:dyDescent="0.3"/>
    <row r="2" spans="2:12" ht="32.25" thickBot="1" x14ac:dyDescent="0.3">
      <c r="B2" s="165" t="s">
        <v>3</v>
      </c>
      <c r="C2" s="164" t="s">
        <v>72</v>
      </c>
      <c r="D2" s="163" t="s">
        <v>58</v>
      </c>
      <c r="E2" s="163" t="s">
        <v>43</v>
      </c>
      <c r="F2" s="163" t="s">
        <v>69</v>
      </c>
      <c r="G2" s="163" t="s">
        <v>46</v>
      </c>
      <c r="H2" s="163" t="s">
        <v>47</v>
      </c>
      <c r="I2" s="163" t="s">
        <v>28</v>
      </c>
      <c r="J2" s="163" t="s">
        <v>21</v>
      </c>
      <c r="K2" s="163" t="s">
        <v>22</v>
      </c>
      <c r="L2" s="171" t="s">
        <v>23</v>
      </c>
    </row>
    <row r="3" spans="2:12" x14ac:dyDescent="0.25">
      <c r="B3" s="89">
        <f>'Dados de entrada'!B4</f>
        <v>44593</v>
      </c>
      <c r="C3" s="129">
        <f>('Dados de entrada'!C4+'Dados de entrada'!D4)*(Aliquotas!$C$48)</f>
        <v>23275.842714439998</v>
      </c>
      <c r="D3" s="174">
        <f>'Dados de entrada'!J4</f>
        <v>5413.79</v>
      </c>
      <c r="E3" s="174">
        <f>'Dados de entrada'!G4*Aliquotas!$D$48</f>
        <v>239.25209536</v>
      </c>
      <c r="F3" s="121">
        <f>SUM(C3:E3)</f>
        <v>28928.884809799998</v>
      </c>
      <c r="G3" s="121">
        <f>'Dados de entrada'!M4</f>
        <v>0</v>
      </c>
      <c r="H3" s="121">
        <f>'Dados de entrada'!K4</f>
        <v>0</v>
      </c>
      <c r="I3" s="121">
        <f>'Dados de entrada'!L4</f>
        <v>-7685.13</v>
      </c>
      <c r="J3" s="121">
        <f>F3/(1-('Dados de entrada'!$N$16+'Dados de entrada'!$O$16)/100)*('Dados de entrada'!$N$16/100)</f>
        <v>297.56823154113675</v>
      </c>
      <c r="K3" s="122">
        <f>F3/(1-('Dados de entrada'!$N$16+'Dados de entrada'!$O$16)/100)*('Dados de entrada'!$O$16/100)</f>
        <v>1371.8226955366893</v>
      </c>
      <c r="L3" s="127">
        <f t="shared" ref="L3:L14" si="0">SUM(F3:K3)</f>
        <v>22913.145736877821</v>
      </c>
    </row>
    <row r="4" spans="2:12" x14ac:dyDescent="0.25">
      <c r="B4" s="92">
        <f>'Dados de entrada'!B5</f>
        <v>44562</v>
      </c>
      <c r="C4" s="116">
        <f>('Dados de entrada'!C5+'Dados de entrada'!D5)*(Aliquotas!$C$48)</f>
        <v>19744.106467989997</v>
      </c>
      <c r="D4" s="173">
        <f>'Dados de entrada'!J5</f>
        <v>4592.33</v>
      </c>
      <c r="E4" s="173">
        <f>'Dados de entrada'!G5*Aliquotas!$D$48</f>
        <v>194.51827374000001</v>
      </c>
      <c r="F4" s="117">
        <f t="shared" ref="F4:F14" si="1">SUM(C4:E4)</f>
        <v>24530.954741729995</v>
      </c>
      <c r="G4" s="117">
        <f>'Dados de entrada'!M5</f>
        <v>0</v>
      </c>
      <c r="H4" s="117">
        <f>'Dados de entrada'!K5</f>
        <v>0</v>
      </c>
      <c r="I4" s="117">
        <f>'Dados de entrada'!L5</f>
        <v>-551.03</v>
      </c>
      <c r="J4" s="117">
        <f>F4/(1-('Dados de entrada'!$N$16+'Dados de entrada'!$O$16)/100)*('Dados de entrada'!$N$16/100)</f>
        <v>252.33025291176872</v>
      </c>
      <c r="K4" s="120">
        <f>F4/(1-('Dados de entrada'!$N$16+'Dados de entrada'!$O$16)/100)*('Dados de entrada'!$O$16/100)</f>
        <v>1163.2705746917877</v>
      </c>
      <c r="L4" s="127">
        <f t="shared" si="0"/>
        <v>25395.525569333553</v>
      </c>
    </row>
    <row r="5" spans="2:12" x14ac:dyDescent="0.25">
      <c r="B5" s="92">
        <f>'Dados de entrada'!B6</f>
        <v>44531</v>
      </c>
      <c r="C5" s="116">
        <f>('Dados de entrada'!C6+'Dados de entrada'!D6)*(Aliquotas!$C$48)</f>
        <v>17406.219473990001</v>
      </c>
      <c r="D5" s="173">
        <f>'Dados de entrada'!J6</f>
        <v>4048.55</v>
      </c>
      <c r="E5" s="173">
        <f>'Dados de entrada'!G6*Aliquotas!$D$48</f>
        <v>95.055077320000009</v>
      </c>
      <c r="F5" s="117">
        <f t="shared" si="1"/>
        <v>21549.824551310001</v>
      </c>
      <c r="G5" s="117">
        <f>'Dados de entrada'!M6</f>
        <v>0</v>
      </c>
      <c r="H5" s="117">
        <f>'Dados de entrada'!K6</f>
        <v>1027.04</v>
      </c>
      <c r="I5" s="117">
        <f>'Dados de entrada'!L6</f>
        <v>-1311.61</v>
      </c>
      <c r="J5" s="117">
        <f>F5/(1-('Dados de entrada'!$N$16+'Dados de entrada'!$O$16)/100)*('Dados de entrada'!$N$16/100)</f>
        <v>221.66575807937002</v>
      </c>
      <c r="K5" s="120">
        <f>F5/(1-('Dados de entrada'!$N$16+'Dados de entrada'!$O$16)/100)*('Dados de entrada'!$O$16/100)</f>
        <v>1021.9038375895553</v>
      </c>
      <c r="L5" s="127">
        <f t="shared" si="0"/>
        <v>22508.824146978925</v>
      </c>
    </row>
    <row r="6" spans="2:12" x14ac:dyDescent="0.25">
      <c r="B6" s="92">
        <f>'Dados de entrada'!B7</f>
        <v>44501</v>
      </c>
      <c r="C6" s="116">
        <f>('Dados de entrada'!C7+'Dados de entrada'!D7)*(Aliquotas!$C$48)</f>
        <v>22300.11281173</v>
      </c>
      <c r="D6" s="173">
        <f>'Dados de entrada'!J7</f>
        <v>5186.83</v>
      </c>
      <c r="E6" s="173">
        <f>'Dados de entrada'!G7*Aliquotas!$D$48</f>
        <v>441.01800388000004</v>
      </c>
      <c r="F6" s="117">
        <f t="shared" si="1"/>
        <v>27927.960815609997</v>
      </c>
      <c r="G6" s="117">
        <f>'Dados de entrada'!M7</f>
        <v>0</v>
      </c>
      <c r="H6" s="117">
        <f>'Dados de entrada'!K7</f>
        <v>844.87</v>
      </c>
      <c r="I6" s="117">
        <f>'Dados de entrada'!L7</f>
        <v>0</v>
      </c>
      <c r="J6" s="117">
        <f>F6/(1-('Dados de entrada'!$N$16+'Dados de entrada'!$O$16)/100)*('Dados de entrada'!$N$16/100)</f>
        <v>287.27252934534005</v>
      </c>
      <c r="K6" s="120">
        <f>F6/(1-('Dados de entrada'!$N$16+'Dados de entrada'!$O$16)/100)*('Dados de entrada'!$O$16/100)</f>
        <v>1324.3583615063665</v>
      </c>
      <c r="L6" s="127">
        <f t="shared" si="0"/>
        <v>30384.461706461701</v>
      </c>
    </row>
    <row r="7" spans="2:12" x14ac:dyDescent="0.25">
      <c r="B7" s="92">
        <f>'Dados de entrada'!B8</f>
        <v>44470</v>
      </c>
      <c r="C7" s="116">
        <f>('Dados de entrada'!C8+'Dados de entrada'!D8)*(Aliquotas!$C$48)</f>
        <v>24459.304139240001</v>
      </c>
      <c r="D7" s="173">
        <f>'Dados de entrada'!J8</f>
        <v>5689.05</v>
      </c>
      <c r="E7" s="173">
        <f>'Dados de entrada'!G8*Aliquotas!$D$48</f>
        <v>724.46578683999996</v>
      </c>
      <c r="F7" s="117">
        <f t="shared" si="1"/>
        <v>30872.819926079999</v>
      </c>
      <c r="G7" s="117">
        <f>'Dados de entrada'!M8</f>
        <v>0</v>
      </c>
      <c r="H7" s="117">
        <f>'Dados de entrada'!K8</f>
        <v>0</v>
      </c>
      <c r="I7" s="117">
        <f>'Dados de entrada'!L8</f>
        <v>0</v>
      </c>
      <c r="J7" s="117">
        <f>F7/(1-('Dados de entrada'!$N$16+'Dados de entrada'!$O$16)/100)*('Dados de entrada'!$N$16/100)</f>
        <v>317.56393267463488</v>
      </c>
      <c r="K7" s="120">
        <f>F7/(1-('Dados de entrada'!$N$16+'Dados de entrada'!$O$16)/100)*('Dados de entrada'!$O$16/100)</f>
        <v>1464.0051052181116</v>
      </c>
      <c r="L7" s="127">
        <f t="shared" si="0"/>
        <v>32654.388963972746</v>
      </c>
    </row>
    <row r="8" spans="2:12" x14ac:dyDescent="0.25">
      <c r="B8" s="92">
        <f>'Dados de entrada'!B9</f>
        <v>44440</v>
      </c>
      <c r="C8" s="116">
        <f>('Dados de entrada'!C9+'Dados de entrada'!D9)*(Aliquotas!$C$48)</f>
        <v>26338.224367479997</v>
      </c>
      <c r="D8" s="173">
        <f>'Dados de entrada'!J9</f>
        <v>6126.07</v>
      </c>
      <c r="E8" s="173">
        <f>'Dados de entrada'!G9*Aliquotas!$D$48</f>
        <v>761.66573218000008</v>
      </c>
      <c r="F8" s="117">
        <f t="shared" si="1"/>
        <v>33225.960099659998</v>
      </c>
      <c r="G8" s="117">
        <f>'Dados de entrada'!M9</f>
        <v>0</v>
      </c>
      <c r="H8" s="117">
        <f>'Dados de entrada'!K9</f>
        <v>0</v>
      </c>
      <c r="I8" s="117">
        <f>'Dados de entrada'!L9</f>
        <v>0</v>
      </c>
      <c r="J8" s="117">
        <f>F8/(1-('Dados de entrada'!$N$16+'Dados de entrada'!$O$16)/100)*('Dados de entrada'!$N$16/100)</f>
        <v>341.76879797187564</v>
      </c>
      <c r="K8" s="120">
        <f>F8/(1-('Dados de entrada'!$N$16+'Dados de entrada'!$O$16)/100)*('Dados de entrada'!$O$16/100)</f>
        <v>1575.5922305815695</v>
      </c>
      <c r="L8" s="127">
        <f t="shared" si="0"/>
        <v>35143.321128213443</v>
      </c>
    </row>
    <row r="9" spans="2:12" x14ac:dyDescent="0.25">
      <c r="B9" s="92">
        <f>'Dados de entrada'!B10</f>
        <v>44409</v>
      </c>
      <c r="C9" s="116">
        <f>('Dados de entrada'!C10+'Dados de entrada'!D10)*(Aliquotas!$C$48)</f>
        <v>25594.055413179998</v>
      </c>
      <c r="D9" s="173">
        <f>'Dados de entrada'!J10</f>
        <v>3979.28</v>
      </c>
      <c r="E9" s="173">
        <f>'Dados de entrada'!G10*Aliquotas!$D$48</f>
        <v>873.25411854000004</v>
      </c>
      <c r="F9" s="117">
        <f t="shared" si="1"/>
        <v>30446.589531719997</v>
      </c>
      <c r="G9" s="117">
        <f>'Dados de entrada'!M10</f>
        <v>0</v>
      </c>
      <c r="H9" s="117">
        <f>'Dados de entrada'!K10</f>
        <v>0</v>
      </c>
      <c r="I9" s="117">
        <f>'Dados de entrada'!L10</f>
        <v>0</v>
      </c>
      <c r="J9" s="117">
        <f>F9/(1-('Dados de entrada'!$N$16+'Dados de entrada'!$O$16)/100)*('Dados de entrada'!$N$16/100)</f>
        <v>313.17964252613177</v>
      </c>
      <c r="K9" s="120">
        <f>F9/(1-('Dados de entrada'!$N$16+'Dados de entrada'!$O$16)/100)*('Dados de entrada'!$O$16/100)</f>
        <v>1443.793039237866</v>
      </c>
      <c r="L9" s="127">
        <f t="shared" si="0"/>
        <v>32203.562213483994</v>
      </c>
    </row>
    <row r="10" spans="2:12" x14ac:dyDescent="0.25">
      <c r="B10" s="92">
        <f>'Dados de entrada'!B11</f>
        <v>44378</v>
      </c>
      <c r="C10" s="116">
        <f>('Dados de entrada'!C11+'Dados de entrada'!D11)*(Aliquotas!$C$48)</f>
        <v>26058.428855500002</v>
      </c>
      <c r="D10" s="173">
        <f>'Dados de entrada'!J11</f>
        <v>4051.47</v>
      </c>
      <c r="E10" s="173">
        <f>'Dados de entrada'!G11*Aliquotas!$D$48</f>
        <v>693.88374497999996</v>
      </c>
      <c r="F10" s="117">
        <f t="shared" si="1"/>
        <v>30803.782600480004</v>
      </c>
      <c r="G10" s="117">
        <f>'Dados de entrada'!M11</f>
        <v>0</v>
      </c>
      <c r="H10" s="117">
        <f>'Dados de entrada'!K11</f>
        <v>0</v>
      </c>
      <c r="I10" s="117">
        <f>'Dados de entrada'!L11</f>
        <v>-143.11000000000001</v>
      </c>
      <c r="J10" s="117">
        <f>F10/(1-('Dados de entrada'!$N$16+'Dados de entrada'!$O$16)/100)*('Dados de entrada'!$N$16/100)</f>
        <v>316.85380108732386</v>
      </c>
      <c r="K10" s="120">
        <f>F10/(1-('Dados de entrada'!$N$16+'Dados de entrada'!$O$16)/100)*('Dados de entrada'!$O$16/100)</f>
        <v>1460.7313194942615</v>
      </c>
      <c r="L10" s="127">
        <f t="shared" si="0"/>
        <v>32438.257721061589</v>
      </c>
    </row>
    <row r="11" spans="2:12" x14ac:dyDescent="0.25">
      <c r="B11" s="92">
        <f>'Dados de entrada'!B12</f>
        <v>44348</v>
      </c>
      <c r="C11" s="116">
        <f>('Dados de entrada'!C12+'Dados de entrada'!D12)*(Aliquotas!$C$48)</f>
        <v>15575.083252940001</v>
      </c>
      <c r="D11" s="173">
        <f>'Dados de entrada'!J12</f>
        <v>1592.69</v>
      </c>
      <c r="E11" s="173">
        <f>'Dados de entrada'!G12*Aliquotas!$D$48</f>
        <v>155.4291345</v>
      </c>
      <c r="F11" s="117">
        <f t="shared" si="1"/>
        <v>17323.20238744</v>
      </c>
      <c r="G11" s="117">
        <f>'Dados de entrada'!M12</f>
        <v>0</v>
      </c>
      <c r="H11" s="117">
        <f>'Dados de entrada'!K12</f>
        <v>0</v>
      </c>
      <c r="I11" s="117">
        <f>'Dados de entrada'!L12</f>
        <v>-803.64</v>
      </c>
      <c r="J11" s="117">
        <f>F11/(1-('Dados de entrada'!$N$16+'Dados de entrada'!$O$16)/100)*('Dados de entrada'!$N$16/100)</f>
        <v>178.18988643881147</v>
      </c>
      <c r="K11" s="120">
        <f>F11/(1-('Dados de entrada'!$N$16+'Dados de entrada'!$O$16)/100)*('Dados de entrada'!$O$16/100)</f>
        <v>821.47522625604631</v>
      </c>
      <c r="L11" s="127">
        <f t="shared" si="0"/>
        <v>17519.227500134861</v>
      </c>
    </row>
    <row r="12" spans="2:12" x14ac:dyDescent="0.25">
      <c r="B12" s="92">
        <f>'Dados de entrada'!B13</f>
        <v>44317</v>
      </c>
      <c r="C12" s="116">
        <f>('Dados de entrada'!C13+'Dados de entrada'!D13)*(Aliquotas!$C$48)</f>
        <v>20761.16240311</v>
      </c>
      <c r="D12" s="173">
        <f>'Dados de entrada'!J13</f>
        <v>1417.72</v>
      </c>
      <c r="E12" s="173">
        <f>'Dados de entrada'!G13*Aliquotas!$D$48</f>
        <v>185.58753894</v>
      </c>
      <c r="F12" s="117">
        <f t="shared" si="1"/>
        <v>22364.46994205</v>
      </c>
      <c r="G12" s="117">
        <f>'Dados de entrada'!M13</f>
        <v>0</v>
      </c>
      <c r="H12" s="117">
        <f>'Dados de entrada'!K13</f>
        <v>0</v>
      </c>
      <c r="I12" s="117">
        <f>'Dados de entrada'!L13</f>
        <v>0</v>
      </c>
      <c r="J12" s="117">
        <f>F12/(1-('Dados de entrada'!$N$16+'Dados de entrada'!$O$16)/100)*('Dados de entrada'!$N$16/100)</f>
        <v>230.04536171253599</v>
      </c>
      <c r="K12" s="120">
        <f>F12/(1-('Dados de entrada'!$N$16+'Dados de entrada'!$O$16)/100)*('Dados de entrada'!$O$16/100)</f>
        <v>1060.5347437990094</v>
      </c>
      <c r="L12" s="127">
        <f t="shared" si="0"/>
        <v>23655.050047561544</v>
      </c>
    </row>
    <row r="13" spans="2:12" x14ac:dyDescent="0.25">
      <c r="B13" s="92">
        <f>'Dados de entrada'!B14</f>
        <v>44287</v>
      </c>
      <c r="C13" s="116">
        <f>('Dados de entrada'!C14+'Dados de entrada'!D14)*(Aliquotas!$C$48)</f>
        <v>25522.517072399998</v>
      </c>
      <c r="D13" s="173">
        <f>'Dados de entrada'!J14</f>
        <v>561.44000000000005</v>
      </c>
      <c r="E13" s="173">
        <f>'Dados de entrada'!G14*Aliquotas!$D$48</f>
        <v>366.59521388000002</v>
      </c>
      <c r="F13" s="117">
        <f t="shared" si="1"/>
        <v>26450.552286279995</v>
      </c>
      <c r="G13" s="117">
        <f>'Dados de entrada'!M14</f>
        <v>0</v>
      </c>
      <c r="H13" s="117">
        <f>'Dados de entrada'!K14</f>
        <v>0</v>
      </c>
      <c r="I13" s="117">
        <f>'Dados de entrada'!L14</f>
        <v>-1531.3700000000001</v>
      </c>
      <c r="J13" s="117">
        <f>F13/(1-('Dados de entrada'!$N$16+'Dados de entrada'!$O$16)/100)*('Dados de entrada'!$N$16/100)</f>
        <v>272.07561296826657</v>
      </c>
      <c r="K13" s="120">
        <f>F13/(1-('Dados de entrada'!$N$16+'Dados de entrada'!$O$16)/100)*('Dados de entrada'!$O$16/100)</f>
        <v>1254.2988841210579</v>
      </c>
      <c r="L13" s="127">
        <f t="shared" si="0"/>
        <v>26445.55678336932</v>
      </c>
    </row>
    <row r="14" spans="2:12" ht="15.75" thickBot="1" x14ac:dyDescent="0.3">
      <c r="B14" s="113">
        <f>'Dados de entrada'!B15</f>
        <v>44256</v>
      </c>
      <c r="C14" s="118">
        <f>('Dados de entrada'!C15+'Dados de entrada'!D15)*(Aliquotas!$C$48)</f>
        <v>27645.338487679997</v>
      </c>
      <c r="D14" s="175">
        <f>'Dados de entrada'!J15</f>
        <v>608.14</v>
      </c>
      <c r="E14" s="175">
        <f>'Dados de entrada'!G15*Aliquotas!$D$48</f>
        <v>495.23214398000005</v>
      </c>
      <c r="F14" s="119">
        <f t="shared" si="1"/>
        <v>28748.710631659997</v>
      </c>
      <c r="G14" s="119">
        <f>'Dados de entrada'!M15</f>
        <v>0</v>
      </c>
      <c r="H14" s="119">
        <f>'Dados de entrada'!K15</f>
        <v>0</v>
      </c>
      <c r="I14" s="119">
        <f>'Dados de entrada'!L15</f>
        <v>0</v>
      </c>
      <c r="J14" s="119">
        <f>F14/(1-('Dados de entrada'!$N$16+'Dados de entrada'!$O$16)/100)*('Dados de entrada'!$N$16/100)</f>
        <v>295.71492430475359</v>
      </c>
      <c r="K14" s="123">
        <f>F14/(1-('Dados de entrada'!$N$16+'Dados de entrada'!$O$16)/100)*('Dados de entrada'!$O$16/100)</f>
        <v>1363.2787427245714</v>
      </c>
      <c r="L14" s="176">
        <f t="shared" si="0"/>
        <v>30407.704298689321</v>
      </c>
    </row>
    <row r="15" spans="2:12" ht="32.25" thickBot="1" x14ac:dyDescent="0.3">
      <c r="B15" s="134" t="s">
        <v>25</v>
      </c>
      <c r="C15" s="130">
        <f>SUM(C3:C14)</f>
        <v>274680.39545968</v>
      </c>
      <c r="D15" s="125">
        <f>SUM(D3:D14)</f>
        <v>43267.360000000008</v>
      </c>
      <c r="E15" s="125">
        <f>SUM(E3:E14)</f>
        <v>5225.9568641400001</v>
      </c>
      <c r="F15" s="125">
        <f>SUM(F3:F14)</f>
        <v>323173.71232381999</v>
      </c>
      <c r="G15" s="125">
        <f t="shared" ref="G15:L15" si="2">SUM(G3:G14)</f>
        <v>0</v>
      </c>
      <c r="H15" s="125">
        <f t="shared" si="2"/>
        <v>1871.9099999999999</v>
      </c>
      <c r="I15" s="125">
        <f t="shared" si="2"/>
        <v>-12025.890000000001</v>
      </c>
      <c r="J15" s="125">
        <f t="shared" si="2"/>
        <v>3324.2287315619487</v>
      </c>
      <c r="K15" s="125">
        <f t="shared" si="2"/>
        <v>15325.064760756892</v>
      </c>
      <c r="L15" s="133">
        <f t="shared" si="2"/>
        <v>331669.02581613883</v>
      </c>
    </row>
    <row r="18" spans="6:6" x14ac:dyDescent="0.25">
      <c r="F18" s="8"/>
    </row>
    <row r="19" spans="6:6" x14ac:dyDescent="0.25">
      <c r="F19" s="8"/>
    </row>
    <row r="20" spans="6:6" x14ac:dyDescent="0.25">
      <c r="F20" s="8"/>
    </row>
    <row r="21" spans="6:6" x14ac:dyDescent="0.25">
      <c r="F21" s="8"/>
    </row>
    <row r="22" spans="6:6" x14ac:dyDescent="0.25">
      <c r="F22" s="8"/>
    </row>
    <row r="23" spans="6:6" x14ac:dyDescent="0.25">
      <c r="F23" s="8"/>
    </row>
    <row r="24" spans="6:6" x14ac:dyDescent="0.25">
      <c r="F24" s="8"/>
    </row>
    <row r="25" spans="6:6" x14ac:dyDescent="0.25">
      <c r="F25" s="8"/>
    </row>
    <row r="26" spans="6:6" x14ac:dyDescent="0.25">
      <c r="F26" s="8"/>
    </row>
    <row r="27" spans="6:6" x14ac:dyDescent="0.25">
      <c r="F27" s="8"/>
    </row>
    <row r="28" spans="6:6" x14ac:dyDescent="0.25">
      <c r="F28" s="8"/>
    </row>
    <row r="29" spans="6:6" x14ac:dyDescent="0.25">
      <c r="F29" s="8"/>
    </row>
    <row r="30" spans="6:6" x14ac:dyDescent="0.25">
      <c r="F30" s="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Dados de entrada</vt:lpstr>
      <vt:lpstr>Aliquotas</vt:lpstr>
      <vt:lpstr>Gráficos</vt:lpstr>
      <vt:lpstr>Tarifa Verde Atual</vt:lpstr>
      <vt:lpstr>Tarifa Verde Futuro</vt:lpstr>
      <vt:lpstr>Tarifa Azul Atual</vt:lpstr>
      <vt:lpstr>Tarifa Azul Futuro</vt:lpstr>
      <vt:lpstr>Tarifa BT Optante Atual</vt:lpstr>
      <vt:lpstr>Tarifa BT Optante Futuro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Henrique Nascimento</dc:creator>
  <cp:keywords/>
  <dc:description/>
  <cp:lastModifiedBy>Gislene Queiroz Mendes</cp:lastModifiedBy>
  <cp:revision/>
  <dcterms:created xsi:type="dcterms:W3CDTF">2021-08-31T10:18:03Z</dcterms:created>
  <dcterms:modified xsi:type="dcterms:W3CDTF">2023-04-19T16:18:32Z</dcterms:modified>
  <cp:category/>
  <cp:contentStatus/>
</cp:coreProperties>
</file>